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wl-my.sharepoint.com/personal/jamie_jones_portsmouthwater_co_uk/Documents/Documents/Regulation/PR24/Tables/"/>
    </mc:Choice>
  </mc:AlternateContent>
  <xr:revisionPtr revIDLastSave="489" documentId="8_{0D074C4A-852F-4C88-8A53-60E504657A85}" xr6:coauthVersionLast="47" xr6:coauthVersionMax="47" xr10:uidLastSave="{370C3EBD-F6AC-4AFC-B126-FEF1A9D525A8}"/>
  <bookViews>
    <workbookView xWindow="-27810" yWindow="-9285" windowWidth="27720" windowHeight="16440" activeTab="1" xr2:uid="{77118751-3D6E-4E14-A7C7-D9C6861B852B}"/>
  </bookViews>
  <sheets>
    <sheet name="Cover" sheetId="4" r:id="rId1"/>
    <sheet name="Example" sheetId="1" r:id="rId2"/>
    <sheet name="Variables" sheetId="2" r:id="rId3"/>
  </sheets>
  <externalReferences>
    <externalReference r:id="rId4"/>
  </externalReferences>
  <definedNames>
    <definedName name="_ftnref1" localSheetId="0">Cover!#REF!</definedName>
    <definedName name="_ftnref2" localSheetId="0">Cover!#REF!</definedName>
    <definedName name="_Order2" hidden="1">255</definedName>
    <definedName name="_Sort" hidden="1">#REF!</definedName>
    <definedName name="Age">Variables!$B$4:$B$13</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LEVELAND">#REF!</definedName>
    <definedName name="CLWYD">#REF!</definedName>
    <definedName name="components_by_LA">#REF!</definedName>
    <definedName name="CORNWALL">#REF!</definedName>
    <definedName name="Corrosivity">Variables!$F$4:$F$7</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YFED">#REF!</definedName>
    <definedName name="E_SUSSEX">#REF!</definedName>
    <definedName name="ESSEX">#REF!</definedName>
    <definedName name="fe">#REF!</definedName>
    <definedName name="females_UK">#REF!</definedName>
    <definedName name="Fracture_potential">Variables!$G$4:$G$7</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KENT">#REF!</definedName>
    <definedName name="LANCS">#REF!</definedName>
    <definedName name="LEICS">#REF!</definedName>
    <definedName name="LINCS">#REF!</definedName>
    <definedName name="LONDON">#REF!</definedName>
    <definedName name="lst_acronyms">[1]F_Inputs_Clean!$C$7:$C$348</definedName>
    <definedName name="lst_all_companies">[1]Other_Inputs!$D$21:$U$21</definedName>
    <definedName name="lst_menus">'[1]Menu design'!$D$10:$I$10</definedName>
    <definedName name="lst_reference">[1]F_Inputs_Clean!$D$7:$D$348</definedName>
    <definedName name="lst_scenarios">[1]Scenarios!$E$3:$J$3</definedName>
    <definedName name="M_GLAM">#REF!</definedName>
    <definedName name="males_UK">#REF!</definedName>
    <definedName name="Material" comment="List of primary materials">Variables!$A$4:$A$15</definedName>
    <definedName name="MERSEYSIDE">#REF!</definedName>
    <definedName name="MSOA11_WD21_LAD21_EW_LU">#REF!</definedName>
    <definedName name="N_YORKS">#REF!</definedName>
    <definedName name="NORFOLK">#REF!</definedName>
    <definedName name="NORTHANTS">#REF!</definedName>
    <definedName name="NORTHUMBERLAND">#REF!</definedName>
    <definedName name="NOTTS">#REF!</definedName>
    <definedName name="opt_actuals">'[1]Control Panel'!$H$22</definedName>
    <definedName name="opt_actuals_percentage">'[1]Control Panel'!$H$26</definedName>
    <definedName name="opt_baseline_bid_threshold">'[1]Control Panel'!$H$18</definedName>
    <definedName name="opt_baseline_cap">'[1]Control Panel'!$H$20</definedName>
    <definedName name="opt_bids">'[1]Control Panel'!$H$13</definedName>
    <definedName name="opt_bids_percentage">'[1]Control Panel'!$H$16</definedName>
    <definedName name="opt_gearing">'[1]Control Panel'!$H$44</definedName>
    <definedName name="opt_tax">'[1]Control Panel'!$H$46</definedName>
    <definedName name="opt_wacc">'[1]Control Panel'!$H$42</definedName>
    <definedName name="OXON">#REF!</definedName>
    <definedName name="Pct_Tol">#REF!</definedName>
    <definedName name="persons_UK">#REF!</definedName>
    <definedName name="Pipe_size">Variables!$D$4:$D$7</definedName>
    <definedName name="POWYS">#REF!</definedName>
    <definedName name="rge">#REF!</definedName>
    <definedName name="rgwer">#REF!</definedName>
    <definedName name="S_Age">Variables!$C$4:$C$20</definedName>
    <definedName name="S_GLAM">#REF!</definedName>
    <definedName name="S_Pipe_size">Variables!$E$4:$E$10</definedName>
    <definedName name="S_YORKS">#REF!</definedName>
    <definedName name="SAM_CTRY_UK">#REF!</definedName>
    <definedName name="sheet1">#REF!</definedName>
    <definedName name="SHROPS">#REF!</definedName>
    <definedName name="SOMERSET">#REF!</definedName>
    <definedName name="STAFFS">#REF!</definedName>
    <definedName name="SUFFOLK">#REF!</definedName>
    <definedName name="SURREY">#REF!</definedName>
    <definedName name="Trk_Tol">#REF!</definedName>
    <definedName name="TYNE_WEAR">#REF!</definedName>
    <definedName name="UK">#REF!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ILTS">#REF!</definedName>
    <definedName name="yhn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 r="N18" i="1"/>
  <c r="O18" i="1"/>
  <c r="N19" i="1"/>
  <c r="S19" i="1" s="1"/>
  <c r="T19" i="1" s="1"/>
  <c r="O19" i="1"/>
  <c r="N20" i="1"/>
  <c r="S20" i="1" s="1"/>
  <c r="O20" i="1"/>
  <c r="N21" i="1"/>
  <c r="S21" i="1" s="1"/>
  <c r="O21" i="1"/>
  <c r="N22" i="1"/>
  <c r="S22" i="1" s="1"/>
  <c r="O22" i="1"/>
  <c r="N23" i="1"/>
  <c r="S23" i="1" s="1"/>
  <c r="T23" i="1" s="1"/>
  <c r="O23" i="1"/>
  <c r="N24" i="1"/>
  <c r="O24" i="1"/>
  <c r="N25" i="1"/>
  <c r="S25" i="1" s="1"/>
  <c r="O25" i="1"/>
  <c r="N26" i="1"/>
  <c r="S26" i="1" s="1"/>
  <c r="O26" i="1"/>
  <c r="N27" i="1"/>
  <c r="O27" i="1"/>
  <c r="N28" i="1"/>
  <c r="O28" i="1"/>
  <c r="N29" i="1"/>
  <c r="S29" i="1" s="1"/>
  <c r="O29" i="1"/>
  <c r="N30" i="1"/>
  <c r="S30" i="1" s="1"/>
  <c r="O30" i="1"/>
  <c r="N31" i="1"/>
  <c r="O31" i="1"/>
  <c r="N32" i="1"/>
  <c r="O32" i="1"/>
  <c r="N33" i="1"/>
  <c r="S33" i="1" s="1"/>
  <c r="O33" i="1"/>
  <c r="N34" i="1"/>
  <c r="S34" i="1" s="1"/>
  <c r="O34" i="1"/>
  <c r="N35" i="1"/>
  <c r="O35" i="1"/>
  <c r="N36" i="1"/>
  <c r="S36" i="1" s="1"/>
  <c r="T36" i="1" s="1"/>
  <c r="O36" i="1"/>
  <c r="N37" i="1"/>
  <c r="S37" i="1" s="1"/>
  <c r="O37" i="1"/>
  <c r="N38" i="1"/>
  <c r="S38" i="1" s="1"/>
  <c r="O38" i="1"/>
  <c r="N39" i="1"/>
  <c r="S39" i="1" s="1"/>
  <c r="O39" i="1"/>
  <c r="N40" i="1"/>
  <c r="O40" i="1"/>
  <c r="N41" i="1"/>
  <c r="S41" i="1" s="1"/>
  <c r="O41" i="1"/>
  <c r="N42" i="1"/>
  <c r="O42" i="1"/>
  <c r="N43" i="1"/>
  <c r="O43" i="1"/>
  <c r="N44" i="1"/>
  <c r="O44" i="1"/>
  <c r="N45" i="1"/>
  <c r="O45" i="1"/>
  <c r="N46" i="1"/>
  <c r="S46" i="1" s="1"/>
  <c r="O46" i="1"/>
  <c r="N47" i="1"/>
  <c r="O47" i="1"/>
  <c r="N48" i="1"/>
  <c r="O48" i="1"/>
  <c r="O6" i="1"/>
  <c r="O7" i="1"/>
  <c r="O8" i="1"/>
  <c r="O9" i="1"/>
  <c r="O10" i="1"/>
  <c r="O11" i="1"/>
  <c r="O12" i="1"/>
  <c r="O13" i="1"/>
  <c r="O14" i="1"/>
  <c r="O15" i="1"/>
  <c r="O16" i="1"/>
  <c r="O17" i="1"/>
  <c r="N15" i="1"/>
  <c r="S15" i="1" s="1"/>
  <c r="T15" i="1" s="1"/>
  <c r="N8" i="1"/>
  <c r="S8" i="1" s="1"/>
  <c r="T8" i="1" s="1"/>
  <c r="N7" i="1"/>
  <c r="S7" i="1" s="1"/>
  <c r="T7" i="1" s="1"/>
  <c r="N10" i="1"/>
  <c r="S10" i="1" s="1"/>
  <c r="T10" i="1" s="1"/>
  <c r="N6" i="1"/>
  <c r="S6" i="1" s="1"/>
  <c r="T6" i="1" s="1"/>
  <c r="N17" i="1"/>
  <c r="S17" i="1" s="1"/>
  <c r="T17" i="1" s="1"/>
  <c r="N16" i="1"/>
  <c r="S16" i="1" s="1"/>
  <c r="T16" i="1" s="1"/>
  <c r="N11" i="1"/>
  <c r="S11" i="1" s="1"/>
  <c r="T11" i="1" s="1"/>
  <c r="N9" i="1"/>
  <c r="S9" i="1" s="1"/>
  <c r="T9" i="1" s="1"/>
  <c r="N5" i="1"/>
  <c r="P5" i="1" s="1"/>
  <c r="N14" i="1"/>
  <c r="S14" i="1" s="1"/>
  <c r="T14" i="1" s="1"/>
  <c r="N13" i="1"/>
  <c r="S13" i="1" s="1"/>
  <c r="T13" i="1" s="1"/>
  <c r="N12" i="1"/>
  <c r="S12" i="1" s="1"/>
  <c r="T12" i="1" s="1"/>
  <c r="P18" i="1" l="1"/>
  <c r="R18" i="1" s="1"/>
  <c r="P19" i="1"/>
  <c r="R19" i="1" s="1"/>
  <c r="S5" i="1"/>
  <c r="T5" i="1" s="1"/>
  <c r="P31" i="1"/>
  <c r="R31" i="1" s="1"/>
  <c r="P47" i="1"/>
  <c r="R47" i="1" s="1"/>
  <c r="P44" i="1"/>
  <c r="R44" i="1" s="1"/>
  <c r="P39" i="1"/>
  <c r="R39" i="1" s="1"/>
  <c r="P41" i="1"/>
  <c r="R41" i="1" s="1"/>
  <c r="P22" i="1"/>
  <c r="R22" i="1" s="1"/>
  <c r="P21" i="1"/>
  <c r="R21" i="1" s="1"/>
  <c r="P48" i="1"/>
  <c r="R48" i="1" s="1"/>
  <c r="P28" i="1"/>
  <c r="R28" i="1" s="1"/>
  <c r="P26" i="1"/>
  <c r="R26" i="1" s="1"/>
  <c r="S47" i="1"/>
  <c r="P25" i="1"/>
  <c r="R25" i="1" s="1"/>
  <c r="T30" i="1"/>
  <c r="T38" i="1"/>
  <c r="T29" i="1"/>
  <c r="O49" i="1"/>
  <c r="S48" i="1"/>
  <c r="P37" i="1"/>
  <c r="R37" i="1" s="1"/>
  <c r="P34" i="1"/>
  <c r="R34" i="1" s="1"/>
  <c r="S31" i="1"/>
  <c r="S18" i="1"/>
  <c r="P32" i="1"/>
  <c r="R32" i="1" s="1"/>
  <c r="P29" i="1"/>
  <c r="R29" i="1" s="1"/>
  <c r="P46" i="1"/>
  <c r="R46" i="1" s="1"/>
  <c r="P24" i="1"/>
  <c r="R24" i="1" s="1"/>
  <c r="S44" i="1"/>
  <c r="P38" i="1"/>
  <c r="R38" i="1" s="1"/>
  <c r="P36" i="1"/>
  <c r="R36" i="1" s="1"/>
  <c r="P33" i="1"/>
  <c r="R33" i="1" s="1"/>
  <c r="T37" i="1"/>
  <c r="S32" i="1"/>
  <c r="P30" i="1"/>
  <c r="R30" i="1" s="1"/>
  <c r="S24" i="1"/>
  <c r="N49" i="1"/>
  <c r="T22" i="1"/>
  <c r="T20" i="1"/>
  <c r="P23" i="1"/>
  <c r="R23" i="1" s="1"/>
  <c r="P20" i="1"/>
  <c r="R20" i="1" s="1"/>
  <c r="P45" i="1"/>
  <c r="R45" i="1" s="1"/>
  <c r="P40" i="1"/>
  <c r="R40" i="1" s="1"/>
  <c r="P35" i="1"/>
  <c r="R35" i="1" s="1"/>
  <c r="P43" i="1"/>
  <c r="R43" i="1" s="1"/>
  <c r="P27" i="1"/>
  <c r="R27" i="1" s="1"/>
  <c r="P42" i="1"/>
  <c r="R42" i="1" s="1"/>
  <c r="T39" i="1"/>
  <c r="T33" i="1"/>
  <c r="T46" i="1"/>
  <c r="T26" i="1"/>
  <c r="T25" i="1"/>
  <c r="T41" i="1"/>
  <c r="T34" i="1"/>
  <c r="T21" i="1"/>
  <c r="S42" i="1"/>
  <c r="S35" i="1"/>
  <c r="S27" i="1"/>
  <c r="S45" i="1"/>
  <c r="S40" i="1"/>
  <c r="S28" i="1"/>
  <c r="S43" i="1"/>
  <c r="P17" i="1"/>
  <c r="R17" i="1" s="1"/>
  <c r="P12" i="1"/>
  <c r="R12" i="1" s="1"/>
  <c r="P10" i="1"/>
  <c r="R10" i="1" s="1"/>
  <c r="P7" i="1"/>
  <c r="R7" i="1" s="1"/>
  <c r="P6" i="1"/>
  <c r="R6" i="1" s="1"/>
  <c r="P11" i="1"/>
  <c r="R11" i="1" s="1"/>
  <c r="P16" i="1"/>
  <c r="R16" i="1" s="1"/>
  <c r="P13" i="1"/>
  <c r="R13" i="1" s="1"/>
  <c r="P9" i="1"/>
  <c r="R9" i="1" s="1"/>
  <c r="P14" i="1"/>
  <c r="R14" i="1" s="1"/>
  <c r="P15" i="1"/>
  <c r="R15" i="1" s="1"/>
  <c r="P8" i="1"/>
  <c r="R8" i="1" s="1"/>
  <c r="U39" i="1" l="1"/>
  <c r="U45" i="1"/>
  <c r="U5" i="1"/>
  <c r="U32" i="1"/>
  <c r="U13" i="1"/>
  <c r="U11" i="1"/>
  <c r="U42" i="1"/>
  <c r="U36" i="1"/>
  <c r="U12" i="1"/>
  <c r="U22" i="1"/>
  <c r="U21" i="1"/>
  <c r="U29" i="1"/>
  <c r="U35" i="1"/>
  <c r="U18" i="1"/>
  <c r="U6" i="1"/>
  <c r="U26" i="1"/>
  <c r="U43" i="1"/>
  <c r="T31" i="1"/>
  <c r="U31" i="1"/>
  <c r="U14" i="1"/>
  <c r="U16" i="1"/>
  <c r="U30" i="1"/>
  <c r="U33" i="1"/>
  <c r="U24" i="1"/>
  <c r="U15" i="1"/>
  <c r="U9" i="1"/>
  <c r="U27" i="1"/>
  <c r="U23" i="1"/>
  <c r="U17" i="1"/>
  <c r="U37" i="1"/>
  <c r="U8" i="1"/>
  <c r="U25" i="1"/>
  <c r="U28" i="1"/>
  <c r="U19" i="1"/>
  <c r="U10" i="1"/>
  <c r="U34" i="1"/>
  <c r="U41" i="1"/>
  <c r="U48" i="1"/>
  <c r="U40" i="1"/>
  <c r="T44" i="1"/>
  <c r="U44" i="1"/>
  <c r="T47" i="1"/>
  <c r="U47" i="1"/>
  <c r="U7" i="1"/>
  <c r="U20" i="1"/>
  <c r="U38" i="1"/>
  <c r="U46" i="1"/>
  <c r="T32" i="1"/>
  <c r="T24" i="1"/>
  <c r="T18" i="1"/>
  <c r="T48" i="1"/>
  <c r="T42" i="1"/>
  <c r="T28" i="1"/>
  <c r="T27" i="1"/>
  <c r="T43" i="1"/>
  <c r="T35" i="1"/>
  <c r="T45" i="1"/>
  <c r="T40" i="1"/>
  <c r="P49" i="1"/>
  <c r="R49" i="1" s="1"/>
  <c r="R5" i="1"/>
  <c r="P50" i="1"/>
  <c r="R50" i="1" s="1"/>
  <c r="A81" i="1" l="1" a="1"/>
  <c r="A81" i="1" s="1"/>
  <c r="E80" i="1" a="1"/>
  <c r="E80" i="1" s="1"/>
  <c r="A80" i="1" a="1"/>
  <c r="A80" i="1" s="1"/>
  <c r="C80" i="1" a="1"/>
  <c r="C80" i="1" s="1"/>
  <c r="E81" i="1"/>
  <c r="A67" i="1" a="1"/>
  <c r="A67" i="1" s="1"/>
  <c r="E62" i="1" a="1"/>
  <c r="E62" i="1" s="1"/>
  <c r="E76" i="1" a="1"/>
  <c r="E76" i="1" s="1"/>
  <c r="E64" i="1" a="1"/>
  <c r="E64" i="1" s="1"/>
  <c r="C62" i="1" a="1"/>
  <c r="C62" i="1" s="1"/>
  <c r="E60" i="1" a="1"/>
  <c r="E60" i="1" s="1"/>
  <c r="E63" i="1" a="1"/>
  <c r="E63" i="1" s="1"/>
  <c r="A75" i="1" a="1"/>
  <c r="A75" i="1" s="1"/>
  <c r="A77" i="1" a="1"/>
  <c r="A77" i="1" s="1"/>
  <c r="C65" i="1" a="1"/>
  <c r="C65" i="1" s="1"/>
  <c r="E55" i="1" a="1"/>
  <c r="E55" i="1" s="1"/>
  <c r="F55" i="1" s="1"/>
  <c r="A71" i="1" a="1"/>
  <c r="A71" i="1" s="1"/>
  <c r="E59" i="1" a="1"/>
  <c r="E59" i="1" s="1"/>
  <c r="C69" i="1" a="1"/>
  <c r="C69" i="1" s="1"/>
  <c r="C56" i="1" a="1"/>
  <c r="C56" i="1" s="1"/>
  <c r="A70" i="1" a="1"/>
  <c r="A70" i="1" s="1"/>
  <c r="E58" i="1" a="1"/>
  <c r="E58" i="1" s="1"/>
  <c r="E73" i="1" a="1"/>
  <c r="E73" i="1" s="1"/>
  <c r="A73" i="1" a="1"/>
  <c r="A73" i="1" s="1"/>
  <c r="E65" i="1" a="1"/>
  <c r="E65" i="1" s="1"/>
  <c r="A66" i="1" a="1"/>
  <c r="A66" i="1" s="1"/>
  <c r="C73" i="1" a="1"/>
  <c r="C73" i="1" s="1"/>
  <c r="A65" i="1" a="1"/>
  <c r="A65" i="1" s="1"/>
  <c r="A74" i="1" a="1"/>
  <c r="A74" i="1" s="1"/>
  <c r="A64" i="1" a="1"/>
  <c r="A64" i="1" s="1"/>
  <c r="C77" i="1" a="1"/>
  <c r="C77" i="1" s="1"/>
  <c r="C59" i="1" a="1"/>
  <c r="C59" i="1" s="1"/>
  <c r="E57" i="1" a="1"/>
  <c r="E57" i="1" s="1"/>
  <c r="E61" i="1" a="1"/>
  <c r="E61" i="1" s="1"/>
  <c r="C79" i="1" a="1"/>
  <c r="C79" i="1" s="1"/>
  <c r="A60" i="1" a="1"/>
  <c r="A60" i="1" s="1"/>
  <c r="C57" i="1" a="1"/>
  <c r="C57" i="1" s="1"/>
  <c r="A79" i="1" a="1"/>
  <c r="A79" i="1" s="1"/>
  <c r="A58" i="1" a="1"/>
  <c r="A58" i="1" s="1"/>
  <c r="A59" i="1" a="1"/>
  <c r="A59" i="1" s="1"/>
  <c r="C61" i="1" a="1"/>
  <c r="C61" i="1" s="1"/>
  <c r="A72" i="1" a="1"/>
  <c r="A72" i="1" s="1"/>
  <c r="C76" i="1" a="1"/>
  <c r="C76" i="1" s="1"/>
  <c r="E69" i="1" a="1"/>
  <c r="E69" i="1" s="1"/>
  <c r="C64" i="1" a="1"/>
  <c r="C64" i="1" s="1"/>
  <c r="C74" i="1" a="1"/>
  <c r="C74" i="1" s="1"/>
  <c r="C81" i="1"/>
  <c r="C71" i="1" a="1"/>
  <c r="C71" i="1" s="1"/>
  <c r="A56" i="1" a="1"/>
  <c r="A56" i="1" s="1"/>
  <c r="C68" i="1" a="1"/>
  <c r="C68" i="1" s="1"/>
  <c r="E72" i="1" a="1"/>
  <c r="E72" i="1" s="1"/>
  <c r="C78" i="1" a="1"/>
  <c r="C78" i="1" s="1"/>
  <c r="E77" i="1" a="1"/>
  <c r="E77" i="1" s="1"/>
  <c r="E79" i="1" a="1"/>
  <c r="E79" i="1" s="1"/>
  <c r="A68" i="1" a="1"/>
  <c r="A68" i="1" s="1"/>
  <c r="E71" i="1" a="1"/>
  <c r="E71" i="1" s="1"/>
  <c r="C66" i="1" a="1"/>
  <c r="C66" i="1" s="1"/>
  <c r="A63" i="1" a="1"/>
  <c r="A63" i="1" s="1"/>
  <c r="E67" i="1" a="1"/>
  <c r="E67" i="1" s="1"/>
  <c r="A78" i="1" a="1"/>
  <c r="A78" i="1" s="1"/>
  <c r="A62" i="1" a="1"/>
  <c r="A62" i="1" s="1"/>
  <c r="E66" i="1" a="1"/>
  <c r="E66" i="1" s="1"/>
  <c r="C63" i="1" a="1"/>
  <c r="C63" i="1" s="1"/>
  <c r="E75" i="1" a="1"/>
  <c r="E75" i="1" s="1"/>
  <c r="A57" i="1" a="1"/>
  <c r="A57" i="1" s="1"/>
  <c r="C72" i="1" a="1"/>
  <c r="C72" i="1" s="1"/>
  <c r="C75" i="1" a="1"/>
  <c r="C75" i="1" s="1"/>
  <c r="E74" i="1" a="1"/>
  <c r="E74" i="1" s="1"/>
  <c r="E78" i="1" a="1"/>
  <c r="E78" i="1" s="1"/>
  <c r="A55" i="1" a="1"/>
  <c r="A55" i="1" s="1"/>
  <c r="C60" i="1" a="1"/>
  <c r="C60" i="1" s="1"/>
  <c r="A76" i="1" a="1"/>
  <c r="A76" i="1" s="1"/>
  <c r="A61" i="1" a="1"/>
  <c r="A61" i="1" s="1"/>
  <c r="C58" i="1" a="1"/>
  <c r="C58" i="1" s="1"/>
  <c r="E70" i="1" a="1"/>
  <c r="E70" i="1" s="1"/>
  <c r="C70" i="1" a="1"/>
  <c r="C70" i="1" s="1"/>
  <c r="C67" i="1" a="1"/>
  <c r="C67" i="1" s="1"/>
  <c r="C55" i="1" a="1"/>
  <c r="C55" i="1" s="1"/>
  <c r="D55" i="1" s="1"/>
  <c r="E68" i="1" a="1"/>
  <c r="E68" i="1" s="1"/>
  <c r="E56" i="1" a="1"/>
  <c r="E56" i="1" s="1"/>
  <c r="A69" i="1" a="1"/>
  <c r="A69" i="1" s="1"/>
  <c r="D56" i="1" l="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F56" i="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<sst xmlns="http://schemas.openxmlformats.org/spreadsheetml/2006/main" count="477" uniqueCount="91">
  <si>
    <t>CW20 – Distribution mains condition - cohort analysis guidance</t>
  </si>
  <si>
    <t>Version 1.0</t>
  </si>
  <si>
    <r>
      <t xml:space="preserve">Objective
</t>
    </r>
    <r>
      <rPr>
        <sz val="11"/>
        <color theme="1"/>
        <rFont val="Arial"/>
        <family val="2"/>
      </rPr>
      <t xml:space="preserve">To set out additional guidance for how companies should construct the .xls file in support of Business Plan Table CW20 Distribution Mains Condition. This includes the variables to be used.
Companies were asked to provide information on what metrics they use in cohort/deterioration analysis. This data has been analysed to determine the variables that should be available across the majority of water companies, these are considered primary variables that all company's must standardise upon. Further metrics were identified that are available across a number of company's, these are considered secondary variables, which companies should standardise on where feasible, but are not mandatory. Companies can also add any further variables as required, provided the primary variables are adhered to. 
This guidance should be read in conjunction with the Business Plan Table Guidance and Table template.  
</t>
    </r>
    <r>
      <rPr>
        <b/>
        <sz val="11"/>
        <color theme="1"/>
        <rFont val="Arial"/>
        <family val="2"/>
      </rPr>
      <t xml:space="preserve">
Data sources
</t>
    </r>
    <r>
      <rPr>
        <sz val="11"/>
        <color theme="1"/>
        <rFont val="Arial"/>
        <family val="2"/>
      </rPr>
      <t>-Ofwat data request</t>
    </r>
  </si>
  <si>
    <t>Primary</t>
  </si>
  <si>
    <t>Secondary</t>
  </si>
  <si>
    <t>Other</t>
  </si>
  <si>
    <t>Cohort Ref (user specified)</t>
  </si>
  <si>
    <t>Material</t>
  </si>
  <si>
    <t>Age</t>
  </si>
  <si>
    <t>Pipe size</t>
  </si>
  <si>
    <t>Soil - Corrosivity</t>
  </si>
  <si>
    <t>Soil - Fracture potential</t>
  </si>
  <si>
    <t>Other_1 (e.g. DMA)</t>
  </si>
  <si>
    <t>Other_2 (e.g. relined)</t>
  </si>
  <si>
    <t>Other_3</t>
  </si>
  <si>
    <t>Sum of length (km)</t>
  </si>
  <si>
    <t>Sum of bursts (over 5 year period)</t>
  </si>
  <si>
    <t>Average annual bursts</t>
  </si>
  <si>
    <t>Nominal expected bursts</t>
  </si>
  <si>
    <t>Annual burst rate tolerance (+/-50% as far as practicable)</t>
  </si>
  <si>
    <t>Tolerance</t>
  </si>
  <si>
    <t>Within tolerance</t>
  </si>
  <si>
    <t>Average annual bursts per 1000km</t>
  </si>
  <si>
    <t>Grade</t>
  </si>
  <si>
    <t>Rank</t>
  </si>
  <si>
    <t>1941 to 1960</t>
  </si>
  <si>
    <t>1941 to 1950</t>
  </si>
  <si>
    <t>≤320mm</t>
  </si>
  <si>
    <t>&gt;70mm and ≤120mm</t>
  </si>
  <si>
    <t>Not used</t>
  </si>
  <si>
    <t>+/-50%</t>
  </si>
  <si>
    <t>1951 to 1960</t>
  </si>
  <si>
    <t>Low</t>
  </si>
  <si>
    <t xml:space="preserve">Medium </t>
  </si>
  <si>
    <t>High</t>
  </si>
  <si>
    <t>1961 to 1980</t>
  </si>
  <si>
    <t>1961 to 1970</t>
  </si>
  <si>
    <t>1981 to 2000</t>
  </si>
  <si>
    <t>2001 to 2020</t>
  </si>
  <si>
    <t>PVC</t>
  </si>
  <si>
    <t>1901 to 1920</t>
  </si>
  <si>
    <t xml:space="preserve">&gt;450mm and ≤610mm; </t>
  </si>
  <si>
    <t>1921 to 1940</t>
  </si>
  <si>
    <t>1921 to 1930</t>
  </si>
  <si>
    <t>&gt;120mm and ≤160mm</t>
  </si>
  <si>
    <t>Total</t>
  </si>
  <si>
    <t>+/-10%</t>
  </si>
  <si>
    <t>Average of averages</t>
  </si>
  <si>
    <t>Example table and graph of cumulative annual average bursts (y-axis) versus cumulative mains length (x-axis)</t>
  </si>
  <si>
    <t>Cohort Ref</t>
  </si>
  <si>
    <t>Cumulative average annual bursts</t>
  </si>
  <si>
    <t>Length</t>
  </si>
  <si>
    <t>Cumulative length</t>
  </si>
  <si>
    <t>Calcualtion</t>
  </si>
  <si>
    <t>S_Age</t>
  </si>
  <si>
    <t>S_Pipe size</t>
  </si>
  <si>
    <t>Corrosivity</t>
  </si>
  <si>
    <t>Fracture potential</t>
  </si>
  <si>
    <t>Other (user defined heading e.g. DMA, Surveyed condition, APM, Urban/Rural, alkalinity, pH, further material breakdown)</t>
  </si>
  <si>
    <t>Bursts average per 1000km</t>
  </si>
  <si>
    <t>pre-1880</t>
  </si>
  <si>
    <t xml:space="preserve">User defined variable list. </t>
  </si>
  <si>
    <t>1881 to 1900</t>
  </si>
  <si>
    <t xml:space="preserve">&gt;320mm and ≤450mm; </t>
  </si>
  <si>
    <t>≤70mm</t>
  </si>
  <si>
    <t>1881 to 1890</t>
  </si>
  <si>
    <t>1891 to 1900</t>
  </si>
  <si>
    <t>&gt;610mm</t>
  </si>
  <si>
    <t>1901 to 1910</t>
  </si>
  <si>
    <t>&gt;160mm and ≤320mm</t>
  </si>
  <si>
    <t>1911 to 1920</t>
  </si>
  <si>
    <t>1931 to 1940</t>
  </si>
  <si>
    <t>2021 onwards</t>
  </si>
  <si>
    <t>1971 to 1980</t>
  </si>
  <si>
    <t>1981 to 1990</t>
  </si>
  <si>
    <t>1991 to 2000</t>
  </si>
  <si>
    <t>2001 to 2010</t>
  </si>
  <si>
    <t>2011 to 2020</t>
  </si>
  <si>
    <t>2020 onwards</t>
  </si>
  <si>
    <t>Portsmouth Water - CW20 - Distribution Mains Condition - Cohort Analysis</t>
  </si>
  <si>
    <t>Unknown/Other</t>
  </si>
  <si>
    <t>Unknown</t>
  </si>
  <si>
    <t>HPPE</t>
  </si>
  <si>
    <t>Steel</t>
  </si>
  <si>
    <t>Ductile Iron</t>
  </si>
  <si>
    <t>Fibre Reinforced Cement</t>
  </si>
  <si>
    <t>Pre-Stressed Concrete</t>
  </si>
  <si>
    <t>MDPE</t>
  </si>
  <si>
    <t>Polyethylene Barrier</t>
  </si>
  <si>
    <t>Blutop</t>
  </si>
  <si>
    <t>Cast Iron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</si>
</sst>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
  </numFmts>
  <fonts count="14" x14ac:knownFonts="1">
    <font>
      <sz val="11"/>
      <color theme="1"/>
      <name val="Arial"/>
      <family val="2"/>
    </font>
    <font>
      <sz val="11"/>
      <color theme="1"/>
      <name val="Arial"/>
      <family val="2"/>
    </font>
    <font>
      <b/>
      <sz val="11"/>
      <color theme="1"/>
      <name val="Arial"/>
      <family val="2"/>
    </font>
    <font>
      <sz val="11"/>
      <color theme="1"/>
      <name val="Calibri"/>
      <family val="2"/>
      <scheme val="minor"/>
    </font>
    <font>
      <b/>
      <sz val="9"/>
      <color theme="3"/>
      <name val="Arial"/>
      <family val="2"/>
    </font>
    <font>
      <u/>
      <sz val="11"/>
      <color theme="10"/>
      <name val="Calibri"/>
      <family val="2"/>
    </font>
    <font>
      <sz val="10"/>
      <color theme="1"/>
      <name val="Calibri"/>
      <family val="2"/>
      <scheme val="minor"/>
    </font>
    <font>
      <sz val="10"/>
      <color theme="1"/>
      <name val="Arial"/>
      <family val="2"/>
    </font>
    <font>
      <sz val="8"/>
      <name val="Arial"/>
      <family val="2"/>
    </font>
    <font>
      <sz val="10"/>
      <color theme="3"/>
      <name val="Calibri"/>
      <family val="2"/>
    </font>
    <font>
      <sz val="9"/>
      <color theme="1"/>
      <name val="Calibri"/>
      <family val="2"/>
    </font>
    <font>
      <b/>
      <sz val="15"/>
      <color theme="0"/>
      <name val="Arial"/>
      <family val="2"/>
    </font>
    <font>
      <sz val="10"/>
      <color theme="3"/>
      <name val="Arial"/>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DCECF5"/>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style="medium">
        <color theme="3"/>
      </top>
      <bottom style="medium">
        <color theme="3"/>
      </bottom>
      <diagonal/>
    </border>
  </borders>
  <cellStyleXfs count="7">
    <xf numFmtId="0" fontId="0" fillId="0" borderId="0"/>
    <xf numFmtId="0" fontId="3" fillId="0" borderId="0"/>
    <xf numFmtId="0" fontId="3" fillId="0" borderId="0"/>
    <xf numFmtId="0" fontId="1" fillId="0" borderId="0"/>
    <xf numFmtId="0" fontId="5" fillId="0" borderId="0" applyNumberFormat="0" applyFill="0" applyBorder="0" applyAlignment="0" applyProtection="0">
      <alignment vertical="top"/>
      <protection locked="0"/>
    </xf>
    <xf numFmtId="0" fontId="1" fillId="0" borderId="0"/>
    <xf numFmtId="0" fontId="7" fillId="0" borderId="0"/>
  </cellStyleXfs>
  <cellXfs count="29">
    <xf numFmtId="0" fontId="0" fillId="0" borderId="0" xfId="0"/>
    <xf numFmtId="0" fontId="4" fillId="2" borderId="0" xfId="2" applyFont="1" applyFill="1"/>
    <xf numFmtId="0" fontId="1" fillId="2" borderId="0" xfId="3" applyFill="1"/>
    <xf numFmtId="0" fontId="4" fillId="0" borderId="0" xfId="2" applyFont="1"/>
    <xf numFmtId="0" fontId="1" fillId="2" borderId="0" xfId="3" applyFill="1" applyAlignment="1">
      <alignment vertical="center" wrapText="1"/>
    </xf>
    <xf numFmtId="0" fontId="6" fillId="0" borderId="0" xfId="0" applyFont="1"/>
    <xf numFmtId="0" fontId="9" fillId="5" borderId="5" xfId="5" applyFont="1" applyFill="1" applyBorder="1" applyAlignment="1">
      <alignment horizontal="center" vertical="center" wrapText="1"/>
    </xf>
    <xf numFmtId="0" fontId="10" fillId="0" borderId="4" xfId="5" applyFont="1" applyBorder="1" applyAlignment="1">
      <alignment horizontal="center" vertical="center" wrapText="1"/>
    </xf>
    <xf numFmtId="0" fontId="1" fillId="0" borderId="0" xfId="0" applyFont="1"/>
    <xf numFmtId="0" fontId="12" fillId="5" borderId="5" xfId="5" applyFont="1" applyFill="1" applyBorder="1" applyAlignment="1">
      <alignment vertical="center" wrapText="1"/>
    </xf>
    <xf numFmtId="0" fontId="13" fillId="0" borderId="4" xfId="5" applyFont="1" applyBorder="1" applyAlignment="1">
      <alignment horizontal="center" vertical="center"/>
    </xf>
    <xf numFmtId="0" fontId="13" fillId="0" borderId="4" xfId="5" applyFont="1" applyBorder="1" applyAlignment="1">
      <alignment vertical="center"/>
    </xf>
    <xf numFmtId="0" fontId="12" fillId="0" borderId="6" xfId="5" applyFont="1" applyBorder="1" applyAlignment="1">
      <alignment horizontal="center" vertical="center"/>
    </xf>
    <xf numFmtId="0" fontId="2" fillId="0" borderId="0" xfId="0" applyFont="1"/>
    <xf numFmtId="0" fontId="7" fillId="0" borderId="0" xfId="0" applyFont="1"/>
    <xf numFmtId="0" fontId="1" fillId="0" borderId="0" xfId="0" applyFont="1" applyAlignment="1">
      <alignment wrapText="1"/>
    </xf>
    <xf numFmtId="0" fontId="11" fillId="4" borderId="0" xfId="2" applyFont="1" applyFill="1" applyAlignment="1">
      <alignment vertical="center"/>
    </xf>
    <xf numFmtId="0" fontId="1" fillId="4" borderId="0" xfId="3" applyFill="1" applyAlignment="1">
      <alignment vertical="center"/>
    </xf>
    <xf numFmtId="0" fontId="1" fillId="0" borderId="0" xfId="3" applyAlignment="1">
      <alignment vertical="center"/>
    </xf>
    <xf numFmtId="0" fontId="11" fillId="4" borderId="0" xfId="5" applyFont="1" applyFill="1" applyAlignment="1">
      <alignment vertical="center"/>
    </xf>
    <xf numFmtId="0" fontId="2" fillId="0" borderId="0" xfId="0" applyFont="1" applyAlignment="1">
      <alignment vertical="center"/>
    </xf>
    <xf numFmtId="0" fontId="2" fillId="3" borderId="1" xfId="3" applyFont="1" applyFill="1" applyBorder="1" applyAlignment="1">
      <alignment horizontal="left" vertical="center" wrapText="1"/>
    </xf>
    <xf numFmtId="0" fontId="1" fillId="3" borderId="2" xfId="3" applyFill="1" applyBorder="1" applyAlignment="1">
      <alignment horizontal="left" vertical="center" wrapText="1"/>
    </xf>
    <xf numFmtId="0" fontId="1" fillId="3" borderId="3" xfId="3" applyFill="1" applyBorder="1" applyAlignment="1">
      <alignment horizontal="left" vertical="center" wrapText="1"/>
    </xf>
    <xf numFmtId="2" fontId="13" fillId="0" borderId="4" xfId="5" applyNumberFormat="1" applyFont="1" applyBorder="1" applyAlignment="1">
      <alignment vertical="center"/>
    </xf>
    <xf numFmtId="166" fontId="13" fillId="0" borderId="4" xfId="5" applyNumberFormat="1" applyFont="1" applyBorder="1" applyAlignment="1">
      <alignment horizontal="center" vertical="center"/>
    </xf>
    <xf numFmtId="2" fontId="13" fillId="0" borderId="4" xfId="5" applyNumberFormat="1" applyFont="1" applyBorder="1" applyAlignment="1">
      <alignment horizontal="center" vertical="center"/>
    </xf>
    <xf numFmtId="0" fontId="12" fillId="5" borderId="5" xfId="5" applyFont="1" applyFill="1" applyBorder="1" applyAlignment="1">
      <alignment horizontal="center" vertical="center" wrapText="1"/>
    </xf>
    <xf numFmtId="2" fontId="12" fillId="0" borderId="6" xfId="5" applyNumberFormat="1" applyFont="1" applyBorder="1" applyAlignment="1">
      <alignment horizontal="center" vertical="center"/>
    </xf>
  </cellXfs>
  <cellStyles count="7">
    <cellStyle name="Hyperlink 2" xfId="4" xr:uid="{8C4966F7-09BB-416B-B920-E158D39EADD5}"/>
    <cellStyle name="Normal" xfId="0" builtinId="0"/>
    <cellStyle name="Normal 2" xfId="1" xr:uid="{A853A54F-BB4C-4575-971D-9B1ED0A4C896}"/>
    <cellStyle name="Normal 2 6" xfId="2" xr:uid="{7A02C124-BB9C-4CFB-B049-565C37276340}"/>
    <cellStyle name="Normal 3 3" xfId="6" xr:uid="{5A5B78D8-A6E9-401F-B197-F4F774C9510E}"/>
    <cellStyle name="Normal 3 6" xfId="5" xr:uid="{B8E8502F-ED92-44A9-80C3-2591891550F8}"/>
    <cellStyle name="Normal 87 2" xfId="3" xr:uid="{A6E2171B-E23F-4852-B340-80273476B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Krub" panose="00000500000000000000" pitchFamily="2" charset="-34"/>
                <a:ea typeface="+mn-ea"/>
                <a:cs typeface="Krub" panose="00000500000000000000" pitchFamily="2" charset="-34"/>
              </a:defRPr>
            </a:pPr>
            <a:r>
              <a:rPr lang="en-US" sz="1200"/>
              <a:t>Portsmouth Water</a:t>
            </a:r>
            <a:br>
              <a:rPr lang="en-US" sz="1200"/>
            </a:br>
            <a:r>
              <a:rPr lang="en-US" sz="1200"/>
              <a:t>Cumulative Avg Annual Bursts v Cumulative Mains Length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title>
    <c:autoTitleDeleted val="0"/>
    <c:plotArea>
      <c:layout/>
      <c:scatterChart>
        <c:scatterStyle val="smoothMarker"/>
        <c:varyColors val="0"/>
        <c:ser>
          <c:idx val="0"/>
          <c:order val="0"/>
          <c:tx>
            <c:strRef>
              <c:f>Example!$F$54</c:f>
              <c:strCache>
                <c:ptCount val="1"/>
                <c:pt idx="0">
                  <c:v>Cumulative length</c:v>
                </c:pt>
              </c:strCache>
            </c:strRef>
          </c:tx>
          <c:spPr>
            <a:ln w="19050" cap="rnd">
              <a:solidFill>
                <a:schemeClr val="accent1"/>
              </a:solidFill>
              <a:round/>
            </a:ln>
            <a:effectLst/>
          </c:spPr>
          <c:marker>
            <c:symbol val="none"/>
          </c:marker>
          <c:xVal>
            <c:numRef>
              <c:f>Example!$F$55:$F$81</c:f>
              <c:numCache>
                <c:formatCode>0.00</c:formatCode>
                <c:ptCount val="27"/>
                <c:pt idx="0">
                  <c:v>0.56399355099999782</c:v>
                </c:pt>
                <c:pt idx="1">
                  <c:v>0.9224091759999975</c:v>
                </c:pt>
                <c:pt idx="2">
                  <c:v>1.643585651999997</c:v>
                </c:pt>
                <c:pt idx="3">
                  <c:v>16.497676209999987</c:v>
                </c:pt>
                <c:pt idx="4">
                  <c:v>113.77219928599965</c:v>
                </c:pt>
                <c:pt idx="5">
                  <c:v>226.34186763799931</c:v>
                </c:pt>
                <c:pt idx="6">
                  <c:v>253.26114539599928</c:v>
                </c:pt>
                <c:pt idx="7">
                  <c:v>281.42202293599917</c:v>
                </c:pt>
                <c:pt idx="8">
                  <c:v>675.47230995899849</c:v>
                </c:pt>
                <c:pt idx="9">
                  <c:v>912.59493786199778</c:v>
                </c:pt>
                <c:pt idx="10">
                  <c:v>919.82197041299776</c:v>
                </c:pt>
                <c:pt idx="11">
                  <c:v>1049.4034957829974</c:v>
                </c:pt>
                <c:pt idx="12">
                  <c:v>1090.1839374449974</c:v>
                </c:pt>
                <c:pt idx="13">
                  <c:v>1164.0598617609971</c:v>
                </c:pt>
                <c:pt idx="14">
                  <c:v>1254.7774044019973</c:v>
                </c:pt>
                <c:pt idx="15">
                  <c:v>1298.8250539489973</c:v>
                </c:pt>
                <c:pt idx="16">
                  <c:v>1326.6743199959972</c:v>
                </c:pt>
                <c:pt idx="17">
                  <c:v>1444.1965758899971</c:v>
                </c:pt>
                <c:pt idx="18">
                  <c:v>1945.3209204519985</c:v>
                </c:pt>
                <c:pt idx="19">
                  <c:v>2287.9118822719979</c:v>
                </c:pt>
                <c:pt idx="20">
                  <c:v>2396.3118995399982</c:v>
                </c:pt>
                <c:pt idx="21">
                  <c:v>2433.3941082059982</c:v>
                </c:pt>
                <c:pt idx="22">
                  <c:v>2495.455971086998</c:v>
                </c:pt>
                <c:pt idx="23">
                  <c:v>2527.050389527998</c:v>
                </c:pt>
                <c:pt idx="24">
                  <c:v>2570.0244863249977</c:v>
                </c:pt>
                <c:pt idx="25">
                  <c:v>2874.1100443939986</c:v>
                </c:pt>
                <c:pt idx="26">
                  <c:v>2882.7379762999985</c:v>
                </c:pt>
              </c:numCache>
            </c:numRef>
          </c:xVal>
          <c:yVal>
            <c:numRef>
              <c:f>Example!$D$55:$D$81</c:f>
              <c:numCache>
                <c:formatCode>0.00</c:formatCode>
                <c:ptCount val="27"/>
                <c:pt idx="0">
                  <c:v>0.3719418306244654</c:v>
                </c:pt>
                <c:pt idx="1">
                  <c:v>0.55791274593669815</c:v>
                </c:pt>
                <c:pt idx="2">
                  <c:v>0.92985457656116355</c:v>
                </c:pt>
                <c:pt idx="3">
                  <c:v>5.3931565440547482</c:v>
                </c:pt>
                <c:pt idx="4">
                  <c:v>26.96578272027374</c:v>
                </c:pt>
                <c:pt idx="5">
                  <c:v>49.654234388366127</c:v>
                </c:pt>
                <c:pt idx="6">
                  <c:v>54.861420017108642</c:v>
                </c:pt>
                <c:pt idx="7">
                  <c:v>59.882634730538925</c:v>
                </c:pt>
                <c:pt idx="8">
                  <c:v>127.39007698887939</c:v>
                </c:pt>
                <c:pt idx="9">
                  <c:v>158.8191616766467</c:v>
                </c:pt>
                <c:pt idx="10">
                  <c:v>159.74901625320786</c:v>
                </c:pt>
                <c:pt idx="11">
                  <c:v>175.74251497005986</c:v>
                </c:pt>
                <c:pt idx="12">
                  <c:v>180.01984602224121</c:v>
                </c:pt>
                <c:pt idx="13">
                  <c:v>185.41300256629597</c:v>
                </c:pt>
                <c:pt idx="14">
                  <c:v>191.17810094097518</c:v>
                </c:pt>
                <c:pt idx="15">
                  <c:v>193.78169375534645</c:v>
                </c:pt>
                <c:pt idx="16">
                  <c:v>194.89751924721986</c:v>
                </c:pt>
                <c:pt idx="17">
                  <c:v>197.31514114627888</c:v>
                </c:pt>
                <c:pt idx="18">
                  <c:v>207.54354148845167</c:v>
                </c:pt>
                <c:pt idx="19">
                  <c:v>213.12266894781865</c:v>
                </c:pt>
                <c:pt idx="20">
                  <c:v>214.79640718562874</c:v>
                </c:pt>
                <c:pt idx="21">
                  <c:v>215.35431993156544</c:v>
                </c:pt>
                <c:pt idx="22">
                  <c:v>216.09820359281437</c:v>
                </c:pt>
                <c:pt idx="23">
                  <c:v>216.2841745081266</c:v>
                </c:pt>
                <c:pt idx="24">
                  <c:v>216.47014542343882</c:v>
                </c:pt>
                <c:pt idx="25">
                  <c:v>217.39999999999998</c:v>
                </c:pt>
                <c:pt idx="26">
                  <c:v>217.39999999999998</c:v>
                </c:pt>
              </c:numCache>
            </c:numRef>
          </c:yVal>
          <c:smooth val="1"/>
          <c:extLst>
            <c:ext xmlns:c16="http://schemas.microsoft.com/office/drawing/2014/chart" uri="{C3380CC4-5D6E-409C-BE32-E72D297353CC}">
              <c16:uniqueId val="{00000000-0E61-4C27-B002-2EF083C30F9B}"/>
            </c:ext>
          </c:extLst>
        </c:ser>
        <c:dLbls>
          <c:showLegendKey val="0"/>
          <c:showVal val="0"/>
          <c:showCatName val="0"/>
          <c:showSerName val="0"/>
          <c:showPercent val="0"/>
          <c:showBubbleSize val="0"/>
        </c:dLbls>
        <c:axId val="1106408895"/>
        <c:axId val="1106412223"/>
      </c:scatterChart>
      <c:valAx>
        <c:axId val="1106408895"/>
        <c:scaling>
          <c:orientation val="minMax"/>
          <c:max val="3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r>
                  <a:rPr lang="en-US"/>
                  <a:t>Cumulative length (km)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crossAx val="1106412223"/>
        <c:crosses val="autoZero"/>
        <c:crossBetween val="midCat"/>
      </c:valAx>
      <c:valAx>
        <c:axId val="11064122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r>
                  <a:rPr lang="en-US"/>
                  <a:t>Cumulative average annual bursts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Krub" panose="00000500000000000000" pitchFamily="2" charset="-34"/>
                <a:ea typeface="+mn-ea"/>
                <a:cs typeface="Krub" panose="00000500000000000000" pitchFamily="2" charset="-34"/>
              </a:defRPr>
            </a:pPr>
            <a:endParaRPr lang="en-US"/>
          </a:p>
        </c:txPr>
        <c:crossAx val="1106408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Krub" panose="00000500000000000000" pitchFamily="2" charset="-34"/>
          <a:cs typeface="Krub" panose="00000500000000000000" pitchFamily="2" charset="-34"/>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77559</xdr:colOff>
      <xdr:row>53</xdr:row>
      <xdr:rowOff>118380</xdr:rowOff>
    </xdr:from>
    <xdr:to>
      <xdr:col>14</xdr:col>
      <xdr:colOff>1115785</xdr:colOff>
      <xdr:row>73</xdr:row>
      <xdr:rowOff>176891</xdr:rowOff>
    </xdr:to>
    <xdr:graphicFrame macro="">
      <xdr:nvGraphicFramePr>
        <xdr:cNvPr id="3" name="Chart 2">
          <a:extLst>
            <a:ext uri="{FF2B5EF4-FFF2-40B4-BE49-F238E27FC236}">
              <a16:creationId xmlns:a16="http://schemas.microsoft.com/office/drawing/2014/main" id="{D13FE7CB-A5A3-2FD3-5030-4F1E394173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4\Cost%20assessment\Menus\Analysis\Menu%20assessment\PR14%20menu%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258E-E62F-4819-9BEE-FD3DE0287347}">
  <dimension ref="A1:U5"/>
  <sheetViews>
    <sheetView workbookViewId="0">
      <selection activeCell="D9" sqref="D9"/>
    </sheetView>
  </sheetViews>
  <sheetFormatPr defaultColWidth="9" defaultRowHeight="14.25" x14ac:dyDescent="0.2"/>
  <cols>
    <col min="1" max="1" width="4.375" style="2" customWidth="1"/>
    <col min="2" max="2" width="16.25" style="2" customWidth="1"/>
    <col min="3" max="3" width="40.25" style="2" customWidth="1"/>
    <col min="4" max="4" width="54.875" style="2" customWidth="1"/>
    <col min="5" max="5" width="44.25" style="2" customWidth="1"/>
    <col min="6" max="16384" width="9" style="2"/>
  </cols>
  <sheetData>
    <row r="1" spans="1:21" s="18" customFormat="1" ht="25.15" customHeight="1" x14ac:dyDescent="0.2">
      <c r="A1" s="16" t="s">
        <v>0</v>
      </c>
      <c r="B1" s="17"/>
      <c r="C1" s="17"/>
      <c r="D1" s="17"/>
      <c r="E1" s="17"/>
      <c r="F1" s="17"/>
      <c r="G1" s="17"/>
      <c r="H1" s="17"/>
      <c r="I1" s="17"/>
    </row>
    <row r="2" spans="1:21" x14ac:dyDescent="0.2">
      <c r="A2" s="1" t="s">
        <v>1</v>
      </c>
    </row>
    <row r="3" spans="1:21" x14ac:dyDescent="0.2">
      <c r="A3" s="3"/>
    </row>
    <row r="4" spans="1:21" ht="15" thickBot="1" x14ac:dyDescent="0.25"/>
    <row r="5" spans="1:21" ht="210.4" customHeight="1" thickBot="1" x14ac:dyDescent="0.25">
      <c r="B5" s="21" t="s">
        <v>2</v>
      </c>
      <c r="C5" s="22"/>
      <c r="D5" s="22"/>
      <c r="E5" s="22"/>
      <c r="F5" s="22"/>
      <c r="G5" s="22"/>
      <c r="H5" s="22"/>
      <c r="I5" s="23"/>
      <c r="J5" s="4"/>
      <c r="K5" s="4"/>
      <c r="L5" s="4"/>
      <c r="M5" s="4"/>
      <c r="N5" s="4"/>
      <c r="O5" s="4"/>
      <c r="P5" s="4"/>
      <c r="Q5" s="4"/>
      <c r="R5" s="4"/>
      <c r="S5" s="4"/>
      <c r="T5" s="4"/>
      <c r="U5" s="4"/>
    </row>
  </sheetData>
  <mergeCells count="1">
    <mergeCell ref="B5: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66BE-FA27-4E09-8D6B-5830CC1154CD}">
  <dimension ref="A1:W81"/>
  <sheetViews>
    <sheetView tabSelected="1" topLeftCell="D48" zoomScaleNormal="100" workbookViewId="0">
      <selection activeCell="N5" sqref="N5:N13"/>
    </sheetView>
  </sheetViews>
  <sheetFormatPr defaultRowHeight="14.25" x14ac:dyDescent="0.2"/>
  <cols>
    <col min="1" max="1" width="20.375" style="8" customWidth="1"/>
    <col min="2" max="2" width="18.375" style="8" bestFit="1" customWidth="1"/>
    <col min="3" max="3" width="14.5" style="8" customWidth="1"/>
    <col min="4" max="4" width="12.25" style="8" customWidth="1"/>
    <col min="5" max="5" width="9" style="8"/>
    <col min="6" max="6" width="15.625" style="8" bestFit="1" customWidth="1"/>
    <col min="7" max="7" width="10.625" style="8" customWidth="1"/>
    <col min="8" max="9" width="9" style="8"/>
    <col min="10" max="10" width="11.125" style="8" customWidth="1"/>
    <col min="11" max="11" width="9" style="8"/>
    <col min="12" max="12" width="10.125" style="8" bestFit="1" customWidth="1"/>
    <col min="13" max="13" width="10.75" style="8" customWidth="1"/>
    <col min="14" max="14" width="9" style="8"/>
    <col min="15" max="15" width="18.125" style="8" bestFit="1" customWidth="1"/>
    <col min="16" max="17" width="12.25" style="8" customWidth="1"/>
    <col min="18" max="21" width="9" style="8"/>
    <col min="22" max="22" width="24.5" style="8" customWidth="1"/>
    <col min="23" max="16384" width="9" style="8"/>
  </cols>
  <sheetData>
    <row r="1" spans="1:23" s="20" customFormat="1" ht="25.15" customHeight="1" x14ac:dyDescent="0.2">
      <c r="A1" s="19" t="s">
        <v>79</v>
      </c>
      <c r="B1" s="19"/>
      <c r="C1" s="19"/>
      <c r="D1" s="19"/>
      <c r="E1" s="19"/>
      <c r="F1" s="19"/>
      <c r="G1" s="19"/>
      <c r="H1" s="19"/>
      <c r="I1" s="19"/>
      <c r="J1" s="19"/>
      <c r="K1" s="19"/>
      <c r="L1" s="19"/>
      <c r="M1" s="19"/>
      <c r="N1" s="19"/>
      <c r="O1" s="19"/>
      <c r="P1" s="19"/>
      <c r="Q1" s="19"/>
      <c r="R1" s="19"/>
      <c r="S1" s="19"/>
      <c r="T1" s="19"/>
      <c r="U1" s="19"/>
      <c r="V1" s="19"/>
      <c r="W1" s="19"/>
    </row>
    <row r="3" spans="1:23" x14ac:dyDescent="0.2">
      <c r="B3" s="9" t="s">
        <v>3</v>
      </c>
      <c r="C3" s="9" t="s">
        <v>3</v>
      </c>
      <c r="D3" s="9" t="s">
        <v>4</v>
      </c>
      <c r="E3" s="9" t="s">
        <v>3</v>
      </c>
      <c r="F3" s="9" t="s">
        <v>4</v>
      </c>
      <c r="G3" s="9" t="s">
        <v>4</v>
      </c>
      <c r="H3" s="9" t="s">
        <v>4</v>
      </c>
      <c r="I3" s="9" t="s">
        <v>5</v>
      </c>
      <c r="J3" s="9" t="s">
        <v>5</v>
      </c>
      <c r="K3" s="9" t="s">
        <v>5</v>
      </c>
    </row>
    <row r="4" spans="1:23" ht="51" x14ac:dyDescent="0.2">
      <c r="A4" s="9" t="s">
        <v>6</v>
      </c>
      <c r="B4" s="9" t="s">
        <v>7</v>
      </c>
      <c r="C4" s="9" t="s">
        <v>8</v>
      </c>
      <c r="D4" s="9" t="s">
        <v>8</v>
      </c>
      <c r="E4" s="9" t="s">
        <v>9</v>
      </c>
      <c r="F4" s="9" t="s">
        <v>9</v>
      </c>
      <c r="G4" s="9" t="s">
        <v>10</v>
      </c>
      <c r="H4" s="9" t="s">
        <v>11</v>
      </c>
      <c r="I4" s="9" t="s">
        <v>12</v>
      </c>
      <c r="J4" s="9" t="s">
        <v>13</v>
      </c>
      <c r="K4" s="9" t="s">
        <v>14</v>
      </c>
      <c r="L4" s="9" t="s">
        <v>15</v>
      </c>
      <c r="M4" s="9" t="s">
        <v>16</v>
      </c>
      <c r="N4" s="27" t="s">
        <v>17</v>
      </c>
      <c r="O4" s="27" t="s">
        <v>18</v>
      </c>
      <c r="P4" s="9" t="s">
        <v>19</v>
      </c>
      <c r="Q4" s="9" t="s">
        <v>20</v>
      </c>
      <c r="R4" s="9" t="s">
        <v>21</v>
      </c>
      <c r="S4" s="9" t="s">
        <v>22</v>
      </c>
      <c r="T4" s="9" t="s">
        <v>23</v>
      </c>
      <c r="U4" s="9" t="s">
        <v>24</v>
      </c>
    </row>
    <row r="5" spans="1:23" x14ac:dyDescent="0.2">
      <c r="A5" s="10">
        <v>1</v>
      </c>
      <c r="B5" s="11" t="s">
        <v>80</v>
      </c>
      <c r="C5" s="10" t="s">
        <v>81</v>
      </c>
      <c r="D5" s="11" t="s">
        <v>29</v>
      </c>
      <c r="E5" s="10" t="s">
        <v>27</v>
      </c>
      <c r="F5" s="11" t="s">
        <v>29</v>
      </c>
      <c r="G5" s="10" t="s">
        <v>29</v>
      </c>
      <c r="H5" s="11" t="s">
        <v>29</v>
      </c>
      <c r="I5" s="10"/>
      <c r="J5" s="11"/>
      <c r="K5" s="10"/>
      <c r="L5" s="25">
        <v>304.08555806900085</v>
      </c>
      <c r="M5" s="26">
        <v>4.6492728828058176</v>
      </c>
      <c r="N5" s="26">
        <f t="shared" ref="N5:N17" si="0">M5/5</f>
        <v>0.92985457656116355</v>
      </c>
      <c r="O5" s="10">
        <f>IF(E5="≤320mm",2.5,1)</f>
        <v>2.5</v>
      </c>
      <c r="P5" s="26">
        <f>1-(N5/O5)</f>
        <v>0.6280581693755346</v>
      </c>
      <c r="Q5" s="10" t="s">
        <v>30</v>
      </c>
      <c r="R5" s="11" t="str">
        <f t="shared" ref="R5:R17" si="1">IF(AND(P5&lt;0.5,P5&gt;-0.5),"Yes","No")</f>
        <v>No</v>
      </c>
      <c r="S5" s="26">
        <f>N5/(L5/1000)</f>
        <v>3.057871549263671</v>
      </c>
      <c r="T5" s="10">
        <f t="shared" ref="T5:T17" si="2">IF(S5&lt;=125,1,IF(S5&lt;250,2,IF(S5&lt;500,3,IF(S5&lt;1000,4,5))))</f>
        <v>1</v>
      </c>
      <c r="U5" s="10">
        <f>RANK(S5,S$5:S$48)</f>
        <v>26</v>
      </c>
    </row>
    <row r="6" spans="1:23" x14ac:dyDescent="0.2">
      <c r="A6" s="10">
        <v>2</v>
      </c>
      <c r="B6" s="11" t="s">
        <v>80</v>
      </c>
      <c r="C6" s="10" t="s">
        <v>60</v>
      </c>
      <c r="D6" s="11" t="s">
        <v>29</v>
      </c>
      <c r="E6" s="10" t="s">
        <v>27</v>
      </c>
      <c r="F6" s="11" t="s">
        <v>29</v>
      </c>
      <c r="G6" s="10" t="s">
        <v>29</v>
      </c>
      <c r="H6" s="11" t="s">
        <v>29</v>
      </c>
      <c r="I6" s="10"/>
      <c r="J6" s="11"/>
      <c r="K6" s="10"/>
      <c r="L6" s="25">
        <v>0.40529524599999994</v>
      </c>
      <c r="M6" s="26">
        <v>0</v>
      </c>
      <c r="N6" s="26">
        <f t="shared" si="0"/>
        <v>0</v>
      </c>
      <c r="O6" s="10">
        <f t="shared" ref="O6:O17" si="3">IF(E6="≤320mm",2.5,1)</f>
        <v>2.5</v>
      </c>
      <c r="P6" s="26">
        <f t="shared" ref="P6:P17" si="4">1-(N6/O6)</f>
        <v>1</v>
      </c>
      <c r="Q6" s="10" t="s">
        <v>30</v>
      </c>
      <c r="R6" s="11" t="str">
        <f t="shared" si="1"/>
        <v>No</v>
      </c>
      <c r="S6" s="26">
        <f t="shared" ref="S6:S17" si="5">N6/(L6/1000)</f>
        <v>0</v>
      </c>
      <c r="T6" s="10">
        <f t="shared" si="2"/>
        <v>1</v>
      </c>
      <c r="U6" s="10">
        <f t="shared" ref="U6:U48" si="6">RANK(S6,S$5:S$48)</f>
        <v>27</v>
      </c>
    </row>
    <row r="7" spans="1:23" x14ac:dyDescent="0.2">
      <c r="A7" s="10">
        <v>3</v>
      </c>
      <c r="B7" s="11" t="s">
        <v>80</v>
      </c>
      <c r="C7" s="10" t="s">
        <v>62</v>
      </c>
      <c r="D7" s="11" t="s">
        <v>29</v>
      </c>
      <c r="E7" s="10" t="s">
        <v>27</v>
      </c>
      <c r="F7" s="11" t="s">
        <v>29</v>
      </c>
      <c r="G7" s="10" t="s">
        <v>29</v>
      </c>
      <c r="H7" s="11" t="s">
        <v>29</v>
      </c>
      <c r="I7" s="10"/>
      <c r="J7" s="11"/>
      <c r="K7" s="10"/>
      <c r="L7" s="25">
        <v>0.43053218399999987</v>
      </c>
      <c r="M7" s="26">
        <v>0</v>
      </c>
      <c r="N7" s="26">
        <f t="shared" si="0"/>
        <v>0</v>
      </c>
      <c r="O7" s="10">
        <f t="shared" si="3"/>
        <v>2.5</v>
      </c>
      <c r="P7" s="26">
        <f t="shared" si="4"/>
        <v>1</v>
      </c>
      <c r="Q7" s="10" t="s">
        <v>30</v>
      </c>
      <c r="R7" s="11" t="str">
        <f t="shared" si="1"/>
        <v>No</v>
      </c>
      <c r="S7" s="26">
        <f t="shared" si="5"/>
        <v>0</v>
      </c>
      <c r="T7" s="10">
        <f t="shared" si="2"/>
        <v>1</v>
      </c>
      <c r="U7" s="10">
        <f t="shared" si="6"/>
        <v>27</v>
      </c>
    </row>
    <row r="8" spans="1:23" x14ac:dyDescent="0.2">
      <c r="A8" s="10">
        <v>4</v>
      </c>
      <c r="B8" s="11" t="s">
        <v>80</v>
      </c>
      <c r="C8" s="10" t="s">
        <v>40</v>
      </c>
      <c r="D8" s="11" t="s">
        <v>29</v>
      </c>
      <c r="E8" s="10" t="s">
        <v>27</v>
      </c>
      <c r="F8" s="11" t="s">
        <v>29</v>
      </c>
      <c r="G8" s="10" t="s">
        <v>29</v>
      </c>
      <c r="H8" s="11" t="s">
        <v>29</v>
      </c>
      <c r="I8" s="10"/>
      <c r="J8" s="11"/>
      <c r="K8" s="10"/>
      <c r="L8" s="25">
        <v>0.7458616939999998</v>
      </c>
      <c r="M8" s="26">
        <v>0</v>
      </c>
      <c r="N8" s="26">
        <f t="shared" si="0"/>
        <v>0</v>
      </c>
      <c r="O8" s="10">
        <f t="shared" si="3"/>
        <v>2.5</v>
      </c>
      <c r="P8" s="26">
        <f t="shared" si="4"/>
        <v>1</v>
      </c>
      <c r="Q8" s="10" t="s">
        <v>30</v>
      </c>
      <c r="R8" s="11" t="str">
        <f t="shared" si="1"/>
        <v>No</v>
      </c>
      <c r="S8" s="26">
        <f t="shared" si="5"/>
        <v>0</v>
      </c>
      <c r="T8" s="10">
        <f t="shared" si="2"/>
        <v>1</v>
      </c>
      <c r="U8" s="10">
        <f t="shared" si="6"/>
        <v>27</v>
      </c>
    </row>
    <row r="9" spans="1:23" x14ac:dyDescent="0.2">
      <c r="A9" s="10">
        <v>5</v>
      </c>
      <c r="B9" s="11" t="s">
        <v>80</v>
      </c>
      <c r="C9" s="10" t="s">
        <v>42</v>
      </c>
      <c r="D9" s="11" t="s">
        <v>29</v>
      </c>
      <c r="E9" s="10" t="s">
        <v>27</v>
      </c>
      <c r="F9" s="11" t="s">
        <v>29</v>
      </c>
      <c r="G9" s="10" t="s">
        <v>29</v>
      </c>
      <c r="H9" s="11" t="s">
        <v>29</v>
      </c>
      <c r="I9" s="10"/>
      <c r="J9" s="11"/>
      <c r="K9" s="10"/>
      <c r="L9" s="25">
        <v>31.594418440999974</v>
      </c>
      <c r="M9" s="26">
        <v>0.92985457656116344</v>
      </c>
      <c r="N9" s="26">
        <f t="shared" si="0"/>
        <v>0.1859709153122327</v>
      </c>
      <c r="O9" s="10">
        <f t="shared" si="3"/>
        <v>2.5</v>
      </c>
      <c r="P9" s="26">
        <f t="shared" si="4"/>
        <v>0.92561163387510692</v>
      </c>
      <c r="Q9" s="10" t="s">
        <v>30</v>
      </c>
      <c r="R9" s="11" t="str">
        <f t="shared" si="1"/>
        <v>No</v>
      </c>
      <c r="S9" s="26">
        <f t="shared" si="5"/>
        <v>5.8861952360198808</v>
      </c>
      <c r="T9" s="10">
        <f t="shared" si="2"/>
        <v>1</v>
      </c>
      <c r="U9" s="10">
        <f t="shared" si="6"/>
        <v>24</v>
      </c>
    </row>
    <row r="10" spans="1:23" x14ac:dyDescent="0.2">
      <c r="A10" s="10">
        <v>6</v>
      </c>
      <c r="B10" s="11" t="s">
        <v>80</v>
      </c>
      <c r="C10" s="10" t="s">
        <v>25</v>
      </c>
      <c r="D10" s="11" t="s">
        <v>29</v>
      </c>
      <c r="E10" s="10" t="s">
        <v>27</v>
      </c>
      <c r="F10" s="11" t="s">
        <v>29</v>
      </c>
      <c r="G10" s="10" t="s">
        <v>29</v>
      </c>
      <c r="H10" s="11" t="s">
        <v>29</v>
      </c>
      <c r="I10" s="10"/>
      <c r="J10" s="11"/>
      <c r="K10" s="10"/>
      <c r="L10" s="25">
        <v>37.082208665999985</v>
      </c>
      <c r="M10" s="26">
        <v>2.7895637296834903</v>
      </c>
      <c r="N10" s="26">
        <f t="shared" si="0"/>
        <v>0.55791274593669804</v>
      </c>
      <c r="O10" s="10">
        <f t="shared" si="3"/>
        <v>2.5</v>
      </c>
      <c r="P10" s="26">
        <f t="shared" si="4"/>
        <v>0.77683490162532076</v>
      </c>
      <c r="Q10" s="10" t="s">
        <v>30</v>
      </c>
      <c r="R10" s="11" t="str">
        <f t="shared" si="1"/>
        <v>No</v>
      </c>
      <c r="S10" s="26">
        <f t="shared" si="5"/>
        <v>15.045294387986072</v>
      </c>
      <c r="T10" s="10">
        <f t="shared" si="2"/>
        <v>1</v>
      </c>
      <c r="U10" s="10">
        <f t="shared" si="6"/>
        <v>22</v>
      </c>
    </row>
    <row r="11" spans="1:23" x14ac:dyDescent="0.2">
      <c r="A11" s="10">
        <v>7</v>
      </c>
      <c r="B11" s="11" t="s">
        <v>80</v>
      </c>
      <c r="C11" s="10" t="s">
        <v>35</v>
      </c>
      <c r="D11" s="11" t="s">
        <v>29</v>
      </c>
      <c r="E11" s="10" t="s">
        <v>27</v>
      </c>
      <c r="F11" s="11" t="s">
        <v>29</v>
      </c>
      <c r="G11" s="10" t="s">
        <v>29</v>
      </c>
      <c r="H11" s="11" t="s">
        <v>29</v>
      </c>
      <c r="I11" s="10"/>
      <c r="J11" s="11"/>
      <c r="K11" s="10"/>
      <c r="L11" s="25">
        <v>42.974096796999888</v>
      </c>
      <c r="M11" s="26">
        <v>0.92985457656116344</v>
      </c>
      <c r="N11" s="26">
        <f t="shared" si="0"/>
        <v>0.1859709153122327</v>
      </c>
      <c r="O11" s="10">
        <f t="shared" si="3"/>
        <v>2.5</v>
      </c>
      <c r="P11" s="26">
        <f t="shared" si="4"/>
        <v>0.92561163387510692</v>
      </c>
      <c r="Q11" s="10" t="s">
        <v>30</v>
      </c>
      <c r="R11" s="11" t="str">
        <f t="shared" si="1"/>
        <v>No</v>
      </c>
      <c r="S11" s="26">
        <f t="shared" si="5"/>
        <v>4.3275119007321576</v>
      </c>
      <c r="T11" s="10">
        <f t="shared" si="2"/>
        <v>1</v>
      </c>
      <c r="U11" s="10">
        <f t="shared" si="6"/>
        <v>25</v>
      </c>
    </row>
    <row r="12" spans="1:23" x14ac:dyDescent="0.2">
      <c r="A12" s="10">
        <v>8</v>
      </c>
      <c r="B12" s="11" t="s">
        <v>80</v>
      </c>
      <c r="C12" s="10" t="s">
        <v>37</v>
      </c>
      <c r="D12" s="11" t="s">
        <v>29</v>
      </c>
      <c r="E12" s="10" t="s">
        <v>27</v>
      </c>
      <c r="F12" s="11" t="s">
        <v>29</v>
      </c>
      <c r="G12" s="10" t="s">
        <v>29</v>
      </c>
      <c r="H12" s="11" t="s">
        <v>29</v>
      </c>
      <c r="I12" s="10"/>
      <c r="J12" s="11"/>
      <c r="K12" s="10"/>
      <c r="L12" s="25">
        <v>1.7154189549999983</v>
      </c>
      <c r="M12" s="26">
        <v>0</v>
      </c>
      <c r="N12" s="26">
        <f t="shared" si="0"/>
        <v>0</v>
      </c>
      <c r="O12" s="10">
        <f t="shared" si="3"/>
        <v>2.5</v>
      </c>
      <c r="P12" s="26">
        <f t="shared" si="4"/>
        <v>1</v>
      </c>
      <c r="Q12" s="10" t="s">
        <v>30</v>
      </c>
      <c r="R12" s="11" t="str">
        <f t="shared" si="1"/>
        <v>No</v>
      </c>
      <c r="S12" s="26">
        <f t="shared" si="5"/>
        <v>0</v>
      </c>
      <c r="T12" s="10">
        <f t="shared" si="2"/>
        <v>1</v>
      </c>
      <c r="U12" s="10">
        <f t="shared" si="6"/>
        <v>27</v>
      </c>
    </row>
    <row r="13" spans="1:23" x14ac:dyDescent="0.2">
      <c r="A13" s="10">
        <v>9</v>
      </c>
      <c r="B13" s="11" t="s">
        <v>80</v>
      </c>
      <c r="C13" s="10" t="s">
        <v>38</v>
      </c>
      <c r="D13" s="11" t="s">
        <v>29</v>
      </c>
      <c r="E13" s="10" t="s">
        <v>27</v>
      </c>
      <c r="F13" s="11" t="s">
        <v>29</v>
      </c>
      <c r="G13" s="10" t="s">
        <v>29</v>
      </c>
      <c r="H13" s="11" t="s">
        <v>29</v>
      </c>
      <c r="I13" s="10"/>
      <c r="J13" s="11"/>
      <c r="K13" s="10"/>
      <c r="L13" s="25">
        <v>0.11467223899999994</v>
      </c>
      <c r="M13" s="26">
        <v>0</v>
      </c>
      <c r="N13" s="26">
        <f t="shared" si="0"/>
        <v>0</v>
      </c>
      <c r="O13" s="10">
        <f t="shared" si="3"/>
        <v>2.5</v>
      </c>
      <c r="P13" s="26">
        <f t="shared" si="4"/>
        <v>1</v>
      </c>
      <c r="Q13" s="10" t="s">
        <v>30</v>
      </c>
      <c r="R13" s="11" t="str">
        <f t="shared" si="1"/>
        <v>No</v>
      </c>
      <c r="S13" s="26">
        <f t="shared" si="5"/>
        <v>0</v>
      </c>
      <c r="T13" s="10">
        <f t="shared" si="2"/>
        <v>1</v>
      </c>
      <c r="U13" s="10">
        <f t="shared" si="6"/>
        <v>27</v>
      </c>
    </row>
    <row r="14" spans="1:23" x14ac:dyDescent="0.2">
      <c r="A14" s="10">
        <v>10</v>
      </c>
      <c r="B14" s="11" t="s">
        <v>82</v>
      </c>
      <c r="C14" s="10" t="s">
        <v>81</v>
      </c>
      <c r="D14" s="11" t="s">
        <v>29</v>
      </c>
      <c r="E14" s="10" t="s">
        <v>27</v>
      </c>
      <c r="F14" s="11" t="s">
        <v>29</v>
      </c>
      <c r="G14" s="10" t="s">
        <v>29</v>
      </c>
      <c r="H14" s="11" t="s">
        <v>29</v>
      </c>
      <c r="I14" s="10"/>
      <c r="J14" s="11"/>
      <c r="K14" s="10"/>
      <c r="L14" s="25">
        <v>0.12</v>
      </c>
      <c r="M14" s="26">
        <v>0</v>
      </c>
      <c r="N14" s="26">
        <f t="shared" si="0"/>
        <v>0</v>
      </c>
      <c r="O14" s="10">
        <f t="shared" si="3"/>
        <v>2.5</v>
      </c>
      <c r="P14" s="26">
        <f t="shared" si="4"/>
        <v>1</v>
      </c>
      <c r="Q14" s="10" t="s">
        <v>30</v>
      </c>
      <c r="R14" s="11" t="str">
        <f t="shared" si="1"/>
        <v>No</v>
      </c>
      <c r="S14" s="26">
        <f t="shared" si="5"/>
        <v>0</v>
      </c>
      <c r="T14" s="10">
        <f t="shared" si="2"/>
        <v>1</v>
      </c>
      <c r="U14" s="10">
        <f t="shared" si="6"/>
        <v>27</v>
      </c>
    </row>
    <row r="15" spans="1:23" x14ac:dyDescent="0.2">
      <c r="A15" s="10">
        <v>11</v>
      </c>
      <c r="B15" s="11" t="s">
        <v>82</v>
      </c>
      <c r="C15" s="10" t="s">
        <v>37</v>
      </c>
      <c r="D15" s="11" t="s">
        <v>29</v>
      </c>
      <c r="E15" s="10" t="s">
        <v>27</v>
      </c>
      <c r="F15" s="11" t="s">
        <v>29</v>
      </c>
      <c r="G15" s="10" t="s">
        <v>29</v>
      </c>
      <c r="H15" s="11" t="s">
        <v>29</v>
      </c>
      <c r="I15" s="10"/>
      <c r="J15" s="11"/>
      <c r="K15" s="10"/>
      <c r="L15" s="25">
        <v>9.2675090000000002E-3</v>
      </c>
      <c r="M15" s="26">
        <v>0</v>
      </c>
      <c r="N15" s="26">
        <f t="shared" si="0"/>
        <v>0</v>
      </c>
      <c r="O15" s="10">
        <f t="shared" si="3"/>
        <v>2.5</v>
      </c>
      <c r="P15" s="26">
        <f t="shared" si="4"/>
        <v>1</v>
      </c>
      <c r="Q15" s="10" t="s">
        <v>30</v>
      </c>
      <c r="R15" s="11" t="str">
        <f t="shared" si="1"/>
        <v>No</v>
      </c>
      <c r="S15" s="26">
        <f t="shared" si="5"/>
        <v>0</v>
      </c>
      <c r="T15" s="10">
        <f t="shared" si="2"/>
        <v>1</v>
      </c>
      <c r="U15" s="10">
        <f t="shared" si="6"/>
        <v>27</v>
      </c>
    </row>
    <row r="16" spans="1:23" x14ac:dyDescent="0.2">
      <c r="A16" s="10">
        <v>12</v>
      </c>
      <c r="B16" s="11" t="s">
        <v>82</v>
      </c>
      <c r="C16" s="10" t="s">
        <v>38</v>
      </c>
      <c r="D16" s="11" t="s">
        <v>29</v>
      </c>
      <c r="E16" s="10" t="s">
        <v>27</v>
      </c>
      <c r="F16" s="11" t="s">
        <v>29</v>
      </c>
      <c r="G16" s="10" t="s">
        <v>29</v>
      </c>
      <c r="H16" s="11" t="s">
        <v>29</v>
      </c>
      <c r="I16" s="10"/>
      <c r="J16" s="11"/>
      <c r="K16" s="10"/>
      <c r="L16" s="25">
        <v>342.59096181999956</v>
      </c>
      <c r="M16" s="26">
        <v>27.895637296834902</v>
      </c>
      <c r="N16" s="26">
        <f t="shared" si="0"/>
        <v>5.5791274593669806</v>
      </c>
      <c r="O16" s="10">
        <f t="shared" si="3"/>
        <v>2.5</v>
      </c>
      <c r="P16" s="26">
        <f t="shared" si="4"/>
        <v>-1.2316509837467922</v>
      </c>
      <c r="Q16" s="10" t="s">
        <v>30</v>
      </c>
      <c r="R16" s="11" t="str">
        <f t="shared" si="1"/>
        <v>No</v>
      </c>
      <c r="S16" s="26">
        <f t="shared" si="5"/>
        <v>16.285098210787901</v>
      </c>
      <c r="T16" s="10">
        <f t="shared" si="2"/>
        <v>1</v>
      </c>
      <c r="U16" s="10">
        <f t="shared" si="6"/>
        <v>20</v>
      </c>
    </row>
    <row r="17" spans="1:21" x14ac:dyDescent="0.2">
      <c r="A17" s="10">
        <v>13</v>
      </c>
      <c r="B17" s="11" t="s">
        <v>84</v>
      </c>
      <c r="C17" s="10" t="s">
        <v>81</v>
      </c>
      <c r="D17" s="11" t="s">
        <v>29</v>
      </c>
      <c r="E17" s="10" t="s">
        <v>27</v>
      </c>
      <c r="F17" s="11" t="s">
        <v>29</v>
      </c>
      <c r="G17" s="10" t="s">
        <v>29</v>
      </c>
      <c r="H17" s="11" t="s">
        <v>29</v>
      </c>
      <c r="I17" s="10"/>
      <c r="J17" s="11"/>
      <c r="K17" s="10"/>
      <c r="L17" s="25">
        <v>1.3573657409999977</v>
      </c>
      <c r="M17" s="26">
        <v>0</v>
      </c>
      <c r="N17" s="26">
        <f t="shared" si="0"/>
        <v>0</v>
      </c>
      <c r="O17" s="10">
        <f t="shared" si="3"/>
        <v>2.5</v>
      </c>
      <c r="P17" s="26">
        <f t="shared" si="4"/>
        <v>1</v>
      </c>
      <c r="Q17" s="10" t="s">
        <v>30</v>
      </c>
      <c r="R17" s="11" t="str">
        <f t="shared" si="1"/>
        <v>No</v>
      </c>
      <c r="S17" s="26">
        <f t="shared" si="5"/>
        <v>0</v>
      </c>
      <c r="T17" s="10">
        <f t="shared" si="2"/>
        <v>1</v>
      </c>
      <c r="U17" s="10">
        <f t="shared" si="6"/>
        <v>27</v>
      </c>
    </row>
    <row r="18" spans="1:21" x14ac:dyDescent="0.2">
      <c r="A18" s="10">
        <v>14</v>
      </c>
      <c r="B18" s="11" t="s">
        <v>84</v>
      </c>
      <c r="C18" s="10" t="s">
        <v>35</v>
      </c>
      <c r="D18" s="11" t="s">
        <v>29</v>
      </c>
      <c r="E18" s="10" t="s">
        <v>27</v>
      </c>
      <c r="F18" s="11" t="s">
        <v>29</v>
      </c>
      <c r="G18" s="10" t="s">
        <v>29</v>
      </c>
      <c r="H18" s="11" t="s">
        <v>29</v>
      </c>
      <c r="I18" s="10"/>
      <c r="J18" s="11"/>
      <c r="K18" s="10"/>
      <c r="L18" s="25">
        <v>27.849266046999958</v>
      </c>
      <c r="M18" s="26">
        <v>5.5791274593669806</v>
      </c>
      <c r="N18" s="26">
        <f t="shared" ref="N18:N47" si="7">M18/5</f>
        <v>1.1158254918733961</v>
      </c>
      <c r="O18" s="10">
        <f t="shared" ref="O18:O47" si="8">IF(E18="≤320mm",2.5,1)</f>
        <v>2.5</v>
      </c>
      <c r="P18" s="26">
        <f>1-(N18/O18)</f>
        <v>0.55366980325064152</v>
      </c>
      <c r="Q18" s="10" t="s">
        <v>30</v>
      </c>
      <c r="R18" s="11" t="str">
        <f t="shared" ref="R18:R47" si="9">IF(AND(P18&lt;0.5,P18&gt;-0.5),"Yes","No")</f>
        <v>No</v>
      </c>
      <c r="S18" s="26">
        <f t="shared" ref="S18:S47" si="10">N18/(L18/1000)</f>
        <v>40.066603191275043</v>
      </c>
      <c r="T18" s="10">
        <f t="shared" ref="T18:T47" si="11">IF(S18&lt;=125,1,IF(S18&lt;250,2,IF(S18&lt;500,3,IF(S18&lt;1000,4,5))))</f>
        <v>1</v>
      </c>
      <c r="U18" s="10">
        <f t="shared" si="6"/>
        <v>17</v>
      </c>
    </row>
    <row r="19" spans="1:21" x14ac:dyDescent="0.2">
      <c r="A19" s="10">
        <v>15</v>
      </c>
      <c r="B19" s="11" t="s">
        <v>84</v>
      </c>
      <c r="C19" s="10" t="s">
        <v>37</v>
      </c>
      <c r="D19" s="11" t="s">
        <v>29</v>
      </c>
      <c r="E19" s="10" t="s">
        <v>27</v>
      </c>
      <c r="F19" s="11" t="s">
        <v>29</v>
      </c>
      <c r="G19" s="10" t="s">
        <v>29</v>
      </c>
      <c r="H19" s="11" t="s">
        <v>29</v>
      </c>
      <c r="I19" s="10"/>
      <c r="J19" s="11"/>
      <c r="K19" s="10"/>
      <c r="L19" s="25">
        <v>117.52225589399988</v>
      </c>
      <c r="M19" s="26">
        <v>12.088109495295125</v>
      </c>
      <c r="N19" s="26">
        <f t="shared" si="7"/>
        <v>2.417621899059025</v>
      </c>
      <c r="O19" s="10">
        <f t="shared" si="8"/>
        <v>2.5</v>
      </c>
      <c r="P19" s="26">
        <f>1-(N19/O19)</f>
        <v>3.2951240376389968E-2</v>
      </c>
      <c r="Q19" s="10" t="s">
        <v>30</v>
      </c>
      <c r="R19" s="11" t="str">
        <f t="shared" si="9"/>
        <v>Yes</v>
      </c>
      <c r="S19" s="26">
        <f t="shared" si="10"/>
        <v>20.571609017100709</v>
      </c>
      <c r="T19" s="10">
        <f t="shared" si="11"/>
        <v>1</v>
      </c>
      <c r="U19" s="10">
        <f t="shared" si="6"/>
        <v>18</v>
      </c>
    </row>
    <row r="20" spans="1:21" x14ac:dyDescent="0.2">
      <c r="A20" s="10">
        <v>16</v>
      </c>
      <c r="B20" s="11" t="s">
        <v>84</v>
      </c>
      <c r="C20" s="10" t="s">
        <v>38</v>
      </c>
      <c r="D20" s="11" t="s">
        <v>29</v>
      </c>
      <c r="E20" s="10" t="s">
        <v>27</v>
      </c>
      <c r="F20" s="11" t="s">
        <v>29</v>
      </c>
      <c r="G20" s="10" t="s">
        <v>29</v>
      </c>
      <c r="H20" s="11" t="s">
        <v>29</v>
      </c>
      <c r="I20" s="10"/>
      <c r="J20" s="11"/>
      <c r="K20" s="10"/>
      <c r="L20" s="25">
        <v>62.061862880999954</v>
      </c>
      <c r="M20" s="26">
        <v>3.7194183062446537</v>
      </c>
      <c r="N20" s="26">
        <f t="shared" si="7"/>
        <v>0.74388366124893079</v>
      </c>
      <c r="O20" s="10">
        <f t="shared" si="8"/>
        <v>2.5</v>
      </c>
      <c r="P20" s="26">
        <f t="shared" ref="P20:P47" si="12">1-(N20/O20)</f>
        <v>0.70244653550042768</v>
      </c>
      <c r="Q20" s="10" t="s">
        <v>30</v>
      </c>
      <c r="R20" s="11" t="str">
        <f t="shared" si="9"/>
        <v>No</v>
      </c>
      <c r="S20" s="26">
        <f t="shared" si="10"/>
        <v>11.986163913179416</v>
      </c>
      <c r="T20" s="10">
        <f t="shared" si="11"/>
        <v>1</v>
      </c>
      <c r="U20" s="10">
        <f t="shared" si="6"/>
        <v>23</v>
      </c>
    </row>
    <row r="21" spans="1:21" x14ac:dyDescent="0.2">
      <c r="A21" s="10">
        <v>17</v>
      </c>
      <c r="B21" s="11" t="s">
        <v>83</v>
      </c>
      <c r="C21" s="10" t="s">
        <v>81</v>
      </c>
      <c r="D21" s="11" t="s">
        <v>29</v>
      </c>
      <c r="E21" s="10" t="s">
        <v>27</v>
      </c>
      <c r="F21" s="11" t="s">
        <v>29</v>
      </c>
      <c r="G21" s="10" t="s">
        <v>29</v>
      </c>
      <c r="H21" s="11" t="s">
        <v>29</v>
      </c>
      <c r="I21" s="10"/>
      <c r="J21" s="11"/>
      <c r="K21" s="10"/>
      <c r="L21" s="25">
        <v>0.72117647599999957</v>
      </c>
      <c r="M21" s="26">
        <v>1.8597091531223269</v>
      </c>
      <c r="N21" s="26">
        <f t="shared" si="7"/>
        <v>0.3719418306244654</v>
      </c>
      <c r="O21" s="10">
        <f t="shared" si="8"/>
        <v>2.5</v>
      </c>
      <c r="P21" s="26">
        <f t="shared" si="12"/>
        <v>0.85122326775021384</v>
      </c>
      <c r="Q21" s="10" t="s">
        <v>30</v>
      </c>
      <c r="R21" s="11" t="str">
        <f t="shared" si="9"/>
        <v>No</v>
      </c>
      <c r="S21" s="26">
        <f t="shared" si="10"/>
        <v>515.74315441823376</v>
      </c>
      <c r="T21" s="10">
        <f t="shared" si="11"/>
        <v>4</v>
      </c>
      <c r="U21" s="10">
        <f t="shared" si="6"/>
        <v>3</v>
      </c>
    </row>
    <row r="22" spans="1:21" x14ac:dyDescent="0.2">
      <c r="A22" s="10">
        <v>18</v>
      </c>
      <c r="B22" s="11" t="s">
        <v>83</v>
      </c>
      <c r="C22" s="10" t="s">
        <v>42</v>
      </c>
      <c r="D22" s="11" t="s">
        <v>29</v>
      </c>
      <c r="E22" s="10" t="s">
        <v>27</v>
      </c>
      <c r="F22" s="11" t="s">
        <v>29</v>
      </c>
      <c r="G22" s="10" t="s">
        <v>29</v>
      </c>
      <c r="H22" s="11" t="s">
        <v>29</v>
      </c>
      <c r="I22" s="10"/>
      <c r="J22" s="11"/>
      <c r="K22" s="10"/>
      <c r="L22" s="25">
        <v>0.35841562499999963</v>
      </c>
      <c r="M22" s="26">
        <v>0.92985457656116344</v>
      </c>
      <c r="N22" s="26">
        <f t="shared" si="7"/>
        <v>0.1859709153122327</v>
      </c>
      <c r="O22" s="10">
        <f t="shared" si="8"/>
        <v>2.5</v>
      </c>
      <c r="P22" s="26">
        <f t="shared" si="12"/>
        <v>0.92561163387510692</v>
      </c>
      <c r="Q22" s="10" t="s">
        <v>30</v>
      </c>
      <c r="R22" s="11" t="str">
        <f t="shared" si="9"/>
        <v>No</v>
      </c>
      <c r="S22" s="26">
        <f t="shared" si="10"/>
        <v>518.86944190067857</v>
      </c>
      <c r="T22" s="10">
        <f t="shared" si="11"/>
        <v>4</v>
      </c>
      <c r="U22" s="10">
        <f t="shared" si="6"/>
        <v>2</v>
      </c>
    </row>
    <row r="23" spans="1:21" x14ac:dyDescent="0.2">
      <c r="A23" s="10">
        <v>19</v>
      </c>
      <c r="B23" s="11" t="s">
        <v>83</v>
      </c>
      <c r="C23" s="10" t="s">
        <v>35</v>
      </c>
      <c r="D23" s="11" t="s">
        <v>29</v>
      </c>
      <c r="E23" s="10" t="s">
        <v>27</v>
      </c>
      <c r="F23" s="11" t="s">
        <v>29</v>
      </c>
      <c r="G23" s="10" t="s">
        <v>29</v>
      </c>
      <c r="H23" s="11" t="s">
        <v>29</v>
      </c>
      <c r="I23" s="10"/>
      <c r="J23" s="11"/>
      <c r="K23" s="10"/>
      <c r="L23" s="25">
        <v>0.2109745539999999</v>
      </c>
      <c r="M23" s="26">
        <v>0</v>
      </c>
      <c r="N23" s="26">
        <f t="shared" si="7"/>
        <v>0</v>
      </c>
      <c r="O23" s="10">
        <f t="shared" si="8"/>
        <v>2.5</v>
      </c>
      <c r="P23" s="26">
        <f t="shared" si="12"/>
        <v>1</v>
      </c>
      <c r="Q23" s="10" t="s">
        <v>30</v>
      </c>
      <c r="R23" s="11" t="str">
        <f t="shared" si="9"/>
        <v>No</v>
      </c>
      <c r="S23" s="26">
        <f t="shared" si="10"/>
        <v>0</v>
      </c>
      <c r="T23" s="10">
        <f t="shared" si="11"/>
        <v>1</v>
      </c>
      <c r="U23" s="10">
        <f t="shared" si="6"/>
        <v>27</v>
      </c>
    </row>
    <row r="24" spans="1:21" x14ac:dyDescent="0.2">
      <c r="A24" s="10">
        <v>20</v>
      </c>
      <c r="B24" s="11" t="s">
        <v>83</v>
      </c>
      <c r="C24" s="10" t="s">
        <v>37</v>
      </c>
      <c r="D24" s="11" t="s">
        <v>29</v>
      </c>
      <c r="E24" s="10" t="s">
        <v>27</v>
      </c>
      <c r="F24" s="11" t="s">
        <v>29</v>
      </c>
      <c r="G24" s="10" t="s">
        <v>29</v>
      </c>
      <c r="H24" s="11" t="s">
        <v>29</v>
      </c>
      <c r="I24" s="10"/>
      <c r="J24" s="11"/>
      <c r="K24" s="10"/>
      <c r="L24" s="25">
        <v>0.8972063349999998</v>
      </c>
      <c r="M24" s="26">
        <v>0</v>
      </c>
      <c r="N24" s="26">
        <f t="shared" si="7"/>
        <v>0</v>
      </c>
      <c r="O24" s="10">
        <f t="shared" si="8"/>
        <v>2.5</v>
      </c>
      <c r="P24" s="26">
        <f t="shared" si="12"/>
        <v>1</v>
      </c>
      <c r="Q24" s="10" t="s">
        <v>30</v>
      </c>
      <c r="R24" s="11" t="str">
        <f t="shared" si="9"/>
        <v>No</v>
      </c>
      <c r="S24" s="26">
        <f t="shared" si="10"/>
        <v>0</v>
      </c>
      <c r="T24" s="10">
        <f t="shared" si="11"/>
        <v>1</v>
      </c>
      <c r="U24" s="10">
        <f t="shared" si="6"/>
        <v>27</v>
      </c>
    </row>
    <row r="25" spans="1:21" x14ac:dyDescent="0.2">
      <c r="A25" s="10">
        <v>21</v>
      </c>
      <c r="B25" s="11" t="s">
        <v>83</v>
      </c>
      <c r="C25" s="10" t="s">
        <v>38</v>
      </c>
      <c r="D25" s="11" t="s">
        <v>29</v>
      </c>
      <c r="E25" s="10" t="s">
        <v>27</v>
      </c>
      <c r="F25" s="11" t="s">
        <v>29</v>
      </c>
      <c r="G25" s="10" t="s">
        <v>29</v>
      </c>
      <c r="H25" s="11" t="s">
        <v>29</v>
      </c>
      <c r="I25" s="10"/>
      <c r="J25" s="11"/>
      <c r="K25" s="10"/>
      <c r="L25" s="25">
        <v>8.4366351999999895E-2</v>
      </c>
      <c r="M25" s="26">
        <v>0</v>
      </c>
      <c r="N25" s="26">
        <f t="shared" si="7"/>
        <v>0</v>
      </c>
      <c r="O25" s="10">
        <f t="shared" si="8"/>
        <v>2.5</v>
      </c>
      <c r="P25" s="26">
        <f t="shared" si="12"/>
        <v>1</v>
      </c>
      <c r="Q25" s="10" t="s">
        <v>30</v>
      </c>
      <c r="R25" s="11" t="str">
        <f t="shared" si="9"/>
        <v>No</v>
      </c>
      <c r="S25" s="26">
        <f t="shared" si="10"/>
        <v>0</v>
      </c>
      <c r="T25" s="10">
        <f t="shared" si="11"/>
        <v>1</v>
      </c>
      <c r="U25" s="10">
        <f t="shared" si="6"/>
        <v>27</v>
      </c>
    </row>
    <row r="26" spans="1:21" x14ac:dyDescent="0.2">
      <c r="A26" s="10">
        <v>22</v>
      </c>
      <c r="B26" s="11" t="s">
        <v>90</v>
      </c>
      <c r="C26" s="10" t="s">
        <v>81</v>
      </c>
      <c r="D26" s="11" t="s">
        <v>29</v>
      </c>
      <c r="E26" s="10" t="s">
        <v>27</v>
      </c>
      <c r="F26" s="11" t="s">
        <v>29</v>
      </c>
      <c r="G26" s="10" t="s">
        <v>29</v>
      </c>
      <c r="H26" s="11" t="s">
        <v>29</v>
      </c>
      <c r="I26" s="10"/>
      <c r="J26" s="11"/>
      <c r="K26" s="10"/>
      <c r="L26" s="25">
        <v>394.05028702299938</v>
      </c>
      <c r="M26" s="26">
        <v>337.53721129170231</v>
      </c>
      <c r="N26" s="26">
        <f t="shared" si="7"/>
        <v>67.507442258340461</v>
      </c>
      <c r="O26" s="10">
        <f t="shared" si="8"/>
        <v>2.5</v>
      </c>
      <c r="P26" s="26">
        <f t="shared" si="12"/>
        <v>-26.002976903336183</v>
      </c>
      <c r="Q26" s="10" t="s">
        <v>30</v>
      </c>
      <c r="R26" s="11" t="str">
        <f t="shared" si="9"/>
        <v>No</v>
      </c>
      <c r="S26" s="26">
        <f t="shared" si="10"/>
        <v>171.31682041992849</v>
      </c>
      <c r="T26" s="10">
        <f t="shared" si="11"/>
        <v>2</v>
      </c>
      <c r="U26" s="10">
        <f t="shared" si="6"/>
        <v>9</v>
      </c>
    </row>
    <row r="27" spans="1:21" x14ac:dyDescent="0.2">
      <c r="A27" s="10">
        <v>23</v>
      </c>
      <c r="B27" s="11" t="s">
        <v>90</v>
      </c>
      <c r="C27" s="10" t="s">
        <v>60</v>
      </c>
      <c r="D27" s="11" t="s">
        <v>29</v>
      </c>
      <c r="E27" s="10" t="s">
        <v>27</v>
      </c>
      <c r="F27" s="11" t="s">
        <v>29</v>
      </c>
      <c r="G27" s="10" t="s">
        <v>29</v>
      </c>
      <c r="H27" s="11" t="s">
        <v>29</v>
      </c>
      <c r="I27" s="10"/>
      <c r="J27" s="11"/>
      <c r="K27" s="10"/>
      <c r="L27" s="25">
        <v>44.047649547000034</v>
      </c>
      <c r="M27" s="26">
        <v>13.017964071856287</v>
      </c>
      <c r="N27" s="26">
        <f t="shared" si="7"/>
        <v>2.6035928143712574</v>
      </c>
      <c r="O27" s="10">
        <f t="shared" si="8"/>
        <v>2.5</v>
      </c>
      <c r="P27" s="26">
        <f t="shared" si="12"/>
        <v>-4.143712574850289E-2</v>
      </c>
      <c r="Q27" s="10" t="s">
        <v>30</v>
      </c>
      <c r="R27" s="11" t="str">
        <f t="shared" si="9"/>
        <v>Yes</v>
      </c>
      <c r="S27" s="26">
        <f t="shared" si="10"/>
        <v>59.108552695715424</v>
      </c>
      <c r="T27" s="10">
        <f t="shared" si="11"/>
        <v>1</v>
      </c>
      <c r="U27" s="10">
        <f t="shared" si="6"/>
        <v>16</v>
      </c>
    </row>
    <row r="28" spans="1:21" x14ac:dyDescent="0.2">
      <c r="A28" s="10">
        <v>24</v>
      </c>
      <c r="B28" s="11" t="s">
        <v>90</v>
      </c>
      <c r="C28" s="10" t="s">
        <v>62</v>
      </c>
      <c r="D28" s="11" t="s">
        <v>29</v>
      </c>
      <c r="E28" s="10" t="s">
        <v>27</v>
      </c>
      <c r="F28" s="11" t="s">
        <v>29</v>
      </c>
      <c r="G28" s="10" t="s">
        <v>29</v>
      </c>
      <c r="H28" s="11" t="s">
        <v>29</v>
      </c>
      <c r="I28" s="10"/>
      <c r="J28" s="11"/>
      <c r="K28" s="10"/>
      <c r="L28" s="25">
        <v>40.780441662000001</v>
      </c>
      <c r="M28" s="26">
        <v>21.38665526090676</v>
      </c>
      <c r="N28" s="26">
        <f t="shared" si="7"/>
        <v>4.2773310521813519</v>
      </c>
      <c r="O28" s="10">
        <f t="shared" si="8"/>
        <v>2.5</v>
      </c>
      <c r="P28" s="26">
        <f t="shared" si="12"/>
        <v>-0.71093242087254072</v>
      </c>
      <c r="Q28" s="10" t="s">
        <v>30</v>
      </c>
      <c r="R28" s="11" t="str">
        <f t="shared" si="9"/>
        <v>No</v>
      </c>
      <c r="S28" s="26">
        <f t="shared" si="10"/>
        <v>104.8868251019226</v>
      </c>
      <c r="T28" s="10">
        <f t="shared" si="11"/>
        <v>1</v>
      </c>
      <c r="U28" s="10">
        <f t="shared" si="6"/>
        <v>13</v>
      </c>
    </row>
    <row r="29" spans="1:21" x14ac:dyDescent="0.2">
      <c r="A29" s="10">
        <v>25</v>
      </c>
      <c r="B29" s="11" t="s">
        <v>90</v>
      </c>
      <c r="C29" s="10" t="s">
        <v>40</v>
      </c>
      <c r="D29" s="11" t="s">
        <v>29</v>
      </c>
      <c r="E29" s="10" t="s">
        <v>27</v>
      </c>
      <c r="F29" s="11" t="s">
        <v>29</v>
      </c>
      <c r="G29" s="10" t="s">
        <v>29</v>
      </c>
      <c r="H29" s="11" t="s">
        <v>29</v>
      </c>
      <c r="I29" s="10"/>
      <c r="J29" s="11"/>
      <c r="K29" s="10"/>
      <c r="L29" s="25">
        <v>73.875924315999782</v>
      </c>
      <c r="M29" s="26">
        <v>26.96578272027374</v>
      </c>
      <c r="N29" s="26">
        <f t="shared" si="7"/>
        <v>5.3931565440547482</v>
      </c>
      <c r="O29" s="10">
        <f t="shared" si="8"/>
        <v>2.5</v>
      </c>
      <c r="P29" s="26">
        <f t="shared" si="12"/>
        <v>-1.1572626176218992</v>
      </c>
      <c r="Q29" s="10" t="s">
        <v>30</v>
      </c>
      <c r="R29" s="11" t="str">
        <f t="shared" si="9"/>
        <v>No</v>
      </c>
      <c r="S29" s="26">
        <f t="shared" si="10"/>
        <v>73.002897682685486</v>
      </c>
      <c r="T29" s="10">
        <f t="shared" si="11"/>
        <v>1</v>
      </c>
      <c r="U29" s="10">
        <f t="shared" si="6"/>
        <v>14</v>
      </c>
    </row>
    <row r="30" spans="1:21" x14ac:dyDescent="0.2">
      <c r="A30" s="10">
        <v>26</v>
      </c>
      <c r="B30" s="11" t="s">
        <v>90</v>
      </c>
      <c r="C30" s="10" t="s">
        <v>42</v>
      </c>
      <c r="D30" s="11" t="s">
        <v>29</v>
      </c>
      <c r="E30" s="10" t="s">
        <v>27</v>
      </c>
      <c r="F30" s="11" t="s">
        <v>29</v>
      </c>
      <c r="G30" s="10" t="s">
        <v>29</v>
      </c>
      <c r="H30" s="11" t="s">
        <v>29</v>
      </c>
      <c r="I30" s="10"/>
      <c r="J30" s="11"/>
      <c r="K30" s="10"/>
      <c r="L30" s="25">
        <v>129.58152536999975</v>
      </c>
      <c r="M30" s="26">
        <v>79.967493584260055</v>
      </c>
      <c r="N30" s="26">
        <f t="shared" si="7"/>
        <v>15.993498716852011</v>
      </c>
      <c r="O30" s="10">
        <f t="shared" si="8"/>
        <v>2.5</v>
      </c>
      <c r="P30" s="26">
        <f t="shared" si="12"/>
        <v>-5.3973994867408042</v>
      </c>
      <c r="Q30" s="10" t="s">
        <v>30</v>
      </c>
      <c r="R30" s="11" t="str">
        <f t="shared" si="9"/>
        <v>No</v>
      </c>
      <c r="S30" s="26">
        <f t="shared" si="10"/>
        <v>123.42422016707305</v>
      </c>
      <c r="T30" s="10">
        <f t="shared" si="11"/>
        <v>1</v>
      </c>
      <c r="U30" s="10">
        <f t="shared" si="6"/>
        <v>12</v>
      </c>
    </row>
    <row r="31" spans="1:21" x14ac:dyDescent="0.2">
      <c r="A31" s="10">
        <v>27</v>
      </c>
      <c r="B31" s="11" t="s">
        <v>90</v>
      </c>
      <c r="C31" s="10" t="s">
        <v>25</v>
      </c>
      <c r="D31" s="11" t="s">
        <v>29</v>
      </c>
      <c r="E31" s="10" t="s">
        <v>27</v>
      </c>
      <c r="F31" s="11" t="s">
        <v>29</v>
      </c>
      <c r="G31" s="10" t="s">
        <v>29</v>
      </c>
      <c r="H31" s="11" t="s">
        <v>29</v>
      </c>
      <c r="I31" s="10"/>
      <c r="J31" s="11"/>
      <c r="K31" s="10"/>
      <c r="L31" s="25">
        <v>112.56966835199967</v>
      </c>
      <c r="M31" s="26">
        <v>113.44225834046193</v>
      </c>
      <c r="N31" s="26">
        <f t="shared" si="7"/>
        <v>22.688451668092387</v>
      </c>
      <c r="O31" s="10">
        <f t="shared" si="8"/>
        <v>2.5</v>
      </c>
      <c r="P31" s="26">
        <f t="shared" si="12"/>
        <v>-8.0753806672369546</v>
      </c>
      <c r="Q31" s="10" t="s">
        <v>30</v>
      </c>
      <c r="R31" s="11" t="str">
        <f t="shared" si="9"/>
        <v>No</v>
      </c>
      <c r="S31" s="26">
        <f t="shared" si="10"/>
        <v>201.55031102291912</v>
      </c>
      <c r="T31" s="10">
        <f t="shared" si="11"/>
        <v>2</v>
      </c>
      <c r="U31" s="10">
        <f t="shared" si="6"/>
        <v>6</v>
      </c>
    </row>
    <row r="32" spans="1:21" x14ac:dyDescent="0.2">
      <c r="A32" s="10">
        <v>28</v>
      </c>
      <c r="B32" s="11" t="s">
        <v>90</v>
      </c>
      <c r="C32" s="10" t="s">
        <v>35</v>
      </c>
      <c r="D32" s="11" t="s">
        <v>29</v>
      </c>
      <c r="E32" s="10" t="s">
        <v>27</v>
      </c>
      <c r="F32" s="11" t="s">
        <v>29</v>
      </c>
      <c r="G32" s="10" t="s">
        <v>29</v>
      </c>
      <c r="H32" s="11" t="s">
        <v>29</v>
      </c>
      <c r="I32" s="10"/>
      <c r="J32" s="11"/>
      <c r="K32" s="10"/>
      <c r="L32" s="25">
        <v>97.274523075999653</v>
      </c>
      <c r="M32" s="26">
        <v>107.86313088109496</v>
      </c>
      <c r="N32" s="26">
        <f t="shared" si="7"/>
        <v>21.572626176218993</v>
      </c>
      <c r="O32" s="10">
        <f t="shared" si="8"/>
        <v>2.5</v>
      </c>
      <c r="P32" s="26">
        <f t="shared" si="12"/>
        <v>-7.6290504704875968</v>
      </c>
      <c r="Q32" s="10" t="s">
        <v>30</v>
      </c>
      <c r="R32" s="11" t="str">
        <f t="shared" si="9"/>
        <v>No</v>
      </c>
      <c r="S32" s="26">
        <f t="shared" si="10"/>
        <v>221.77056740092684</v>
      </c>
      <c r="T32" s="10">
        <f t="shared" si="11"/>
        <v>2</v>
      </c>
      <c r="U32" s="10">
        <f t="shared" si="6"/>
        <v>5</v>
      </c>
    </row>
    <row r="33" spans="1:21" x14ac:dyDescent="0.2">
      <c r="A33" s="10">
        <v>29</v>
      </c>
      <c r="B33" s="11" t="s">
        <v>90</v>
      </c>
      <c r="C33" s="10" t="s">
        <v>37</v>
      </c>
      <c r="D33" s="11" t="s">
        <v>29</v>
      </c>
      <c r="E33" s="10" t="s">
        <v>27</v>
      </c>
      <c r="F33" s="11" t="s">
        <v>29</v>
      </c>
      <c r="G33" s="10" t="s">
        <v>29</v>
      </c>
      <c r="H33" s="11" t="s">
        <v>29</v>
      </c>
      <c r="I33" s="10"/>
      <c r="J33" s="11"/>
      <c r="K33" s="10"/>
      <c r="L33" s="25">
        <v>0.33638822899999982</v>
      </c>
      <c r="M33" s="26">
        <v>0</v>
      </c>
      <c r="N33" s="26">
        <f t="shared" si="7"/>
        <v>0</v>
      </c>
      <c r="O33" s="10">
        <f t="shared" si="8"/>
        <v>2.5</v>
      </c>
      <c r="P33" s="26">
        <f t="shared" si="12"/>
        <v>1</v>
      </c>
      <c r="Q33" s="10" t="s">
        <v>30</v>
      </c>
      <c r="R33" s="11" t="str">
        <f t="shared" si="9"/>
        <v>No</v>
      </c>
      <c r="S33" s="26">
        <f t="shared" si="10"/>
        <v>0</v>
      </c>
      <c r="T33" s="10">
        <f t="shared" si="11"/>
        <v>1</v>
      </c>
      <c r="U33" s="10">
        <f t="shared" si="6"/>
        <v>27</v>
      </c>
    </row>
    <row r="34" spans="1:21" x14ac:dyDescent="0.2">
      <c r="A34" s="10">
        <v>30</v>
      </c>
      <c r="B34" s="11" t="s">
        <v>90</v>
      </c>
      <c r="C34" s="10" t="s">
        <v>38</v>
      </c>
      <c r="D34" s="11" t="s">
        <v>29</v>
      </c>
      <c r="E34" s="10" t="s">
        <v>27</v>
      </c>
      <c r="F34" s="11" t="s">
        <v>29</v>
      </c>
      <c r="G34" s="10" t="s">
        <v>29</v>
      </c>
      <c r="H34" s="11" t="s">
        <v>29</v>
      </c>
      <c r="I34" s="10"/>
      <c r="J34" s="11"/>
      <c r="K34" s="10"/>
      <c r="L34" s="25">
        <v>2.0011212E-2</v>
      </c>
      <c r="M34" s="26">
        <v>0</v>
      </c>
      <c r="N34" s="26">
        <f t="shared" si="7"/>
        <v>0</v>
      </c>
      <c r="O34" s="10">
        <f t="shared" si="8"/>
        <v>2.5</v>
      </c>
      <c r="P34" s="26">
        <f t="shared" si="12"/>
        <v>1</v>
      </c>
      <c r="Q34" s="10" t="s">
        <v>30</v>
      </c>
      <c r="R34" s="11" t="str">
        <f t="shared" si="9"/>
        <v>No</v>
      </c>
      <c r="S34" s="26">
        <f t="shared" si="10"/>
        <v>0</v>
      </c>
      <c r="T34" s="10">
        <f t="shared" si="11"/>
        <v>1</v>
      </c>
      <c r="U34" s="10">
        <f t="shared" si="6"/>
        <v>27</v>
      </c>
    </row>
    <row r="35" spans="1:21" x14ac:dyDescent="0.2">
      <c r="A35" s="10">
        <v>31</v>
      </c>
      <c r="B35" s="11" t="s">
        <v>85</v>
      </c>
      <c r="C35" s="10" t="s">
        <v>81</v>
      </c>
      <c r="D35" s="11" t="s">
        <v>29</v>
      </c>
      <c r="E35" s="10" t="s">
        <v>27</v>
      </c>
      <c r="F35" s="11" t="s">
        <v>29</v>
      </c>
      <c r="G35" s="10" t="s">
        <v>29</v>
      </c>
      <c r="H35" s="11" t="s">
        <v>29</v>
      </c>
      <c r="I35" s="10"/>
      <c r="J35" s="11"/>
      <c r="K35" s="10"/>
      <c r="L35" s="25">
        <v>14.854090557999989</v>
      </c>
      <c r="M35" s="26">
        <v>22.316509837467922</v>
      </c>
      <c r="N35" s="26">
        <f t="shared" si="7"/>
        <v>4.4633019674935843</v>
      </c>
      <c r="O35" s="10">
        <f t="shared" si="8"/>
        <v>2.5</v>
      </c>
      <c r="P35" s="26">
        <f t="shared" si="12"/>
        <v>-0.78532078699743368</v>
      </c>
      <c r="Q35" s="10" t="s">
        <v>30</v>
      </c>
      <c r="R35" s="11" t="str">
        <f t="shared" si="9"/>
        <v>No</v>
      </c>
      <c r="S35" s="26">
        <f t="shared" si="10"/>
        <v>300.47628631762836</v>
      </c>
      <c r="T35" s="10">
        <f t="shared" si="11"/>
        <v>3</v>
      </c>
      <c r="U35" s="10">
        <f t="shared" si="6"/>
        <v>4</v>
      </c>
    </row>
    <row r="36" spans="1:21" x14ac:dyDescent="0.2">
      <c r="A36" s="10">
        <v>32</v>
      </c>
      <c r="B36" s="11" t="s">
        <v>85</v>
      </c>
      <c r="C36" s="10" t="s">
        <v>42</v>
      </c>
      <c r="D36" s="11" t="s">
        <v>29</v>
      </c>
      <c r="E36" s="10" t="s">
        <v>27</v>
      </c>
      <c r="F36" s="11" t="s">
        <v>29</v>
      </c>
      <c r="G36" s="10" t="s">
        <v>29</v>
      </c>
      <c r="H36" s="11" t="s">
        <v>29</v>
      </c>
      <c r="I36" s="10"/>
      <c r="J36" s="11"/>
      <c r="K36" s="10"/>
      <c r="L36" s="25">
        <v>0.56399355099999782</v>
      </c>
      <c r="M36" s="26">
        <v>1.8597091531223269</v>
      </c>
      <c r="N36" s="26">
        <f t="shared" si="7"/>
        <v>0.3719418306244654</v>
      </c>
      <c r="O36" s="10">
        <f t="shared" si="8"/>
        <v>2.5</v>
      </c>
      <c r="P36" s="26">
        <f t="shared" si="12"/>
        <v>0.85122326775021384</v>
      </c>
      <c r="Q36" s="10" t="s">
        <v>30</v>
      </c>
      <c r="R36" s="11" t="str">
        <f t="shared" si="9"/>
        <v>No</v>
      </c>
      <c r="S36" s="26">
        <f t="shared" si="10"/>
        <v>659.47887163778375</v>
      </c>
      <c r="T36" s="10">
        <f t="shared" si="11"/>
        <v>4</v>
      </c>
      <c r="U36" s="10">
        <f t="shared" si="6"/>
        <v>1</v>
      </c>
    </row>
    <row r="37" spans="1:21" x14ac:dyDescent="0.2">
      <c r="A37" s="10">
        <v>33</v>
      </c>
      <c r="B37" s="11" t="s">
        <v>85</v>
      </c>
      <c r="C37" s="10" t="s">
        <v>25</v>
      </c>
      <c r="D37" s="11" t="s">
        <v>29</v>
      </c>
      <c r="E37" s="10" t="s">
        <v>27</v>
      </c>
      <c r="F37" s="11" t="s">
        <v>29</v>
      </c>
      <c r="G37" s="10" t="s">
        <v>29</v>
      </c>
      <c r="H37" s="11" t="s">
        <v>29</v>
      </c>
      <c r="I37" s="10"/>
      <c r="J37" s="11"/>
      <c r="K37" s="10"/>
      <c r="L37" s="25">
        <v>7.2270325509999891</v>
      </c>
      <c r="M37" s="26">
        <v>4.6492728828058176</v>
      </c>
      <c r="N37" s="26">
        <f t="shared" si="7"/>
        <v>0.92985457656116355</v>
      </c>
      <c r="O37" s="10">
        <f t="shared" si="8"/>
        <v>2.5</v>
      </c>
      <c r="P37" s="26">
        <f t="shared" si="12"/>
        <v>0.6280581693755346</v>
      </c>
      <c r="Q37" s="10" t="s">
        <v>30</v>
      </c>
      <c r="R37" s="11" t="str">
        <f t="shared" si="9"/>
        <v>No</v>
      </c>
      <c r="S37" s="26">
        <f t="shared" si="10"/>
        <v>128.6633995349172</v>
      </c>
      <c r="T37" s="10">
        <f t="shared" si="11"/>
        <v>2</v>
      </c>
      <c r="U37" s="10">
        <f t="shared" si="6"/>
        <v>11</v>
      </c>
    </row>
    <row r="38" spans="1:21" x14ac:dyDescent="0.2">
      <c r="A38" s="10">
        <v>34</v>
      </c>
      <c r="B38" s="11" t="s">
        <v>85</v>
      </c>
      <c r="C38" s="10" t="s">
        <v>35</v>
      </c>
      <c r="D38" s="11" t="s">
        <v>29</v>
      </c>
      <c r="E38" s="10" t="s">
        <v>27</v>
      </c>
      <c r="F38" s="11" t="s">
        <v>29</v>
      </c>
      <c r="G38" s="10" t="s">
        <v>29</v>
      </c>
      <c r="H38" s="11" t="s">
        <v>29</v>
      </c>
      <c r="I38" s="10"/>
      <c r="J38" s="11"/>
      <c r="K38" s="10"/>
      <c r="L38" s="25">
        <v>26.919277757999978</v>
      </c>
      <c r="M38" s="26">
        <v>26.035928143712574</v>
      </c>
      <c r="N38" s="26">
        <f t="shared" si="7"/>
        <v>5.2071856287425149</v>
      </c>
      <c r="O38" s="10">
        <f t="shared" si="8"/>
        <v>2.5</v>
      </c>
      <c r="P38" s="26">
        <f t="shared" si="12"/>
        <v>-1.0828742514970058</v>
      </c>
      <c r="Q38" s="10" t="s">
        <v>30</v>
      </c>
      <c r="R38" s="11" t="str">
        <f t="shared" si="9"/>
        <v>No</v>
      </c>
      <c r="S38" s="26">
        <f t="shared" si="10"/>
        <v>193.43704818362087</v>
      </c>
      <c r="T38" s="10">
        <f t="shared" si="11"/>
        <v>2</v>
      </c>
      <c r="U38" s="10">
        <f t="shared" si="6"/>
        <v>7</v>
      </c>
    </row>
    <row r="39" spans="1:21" x14ac:dyDescent="0.2">
      <c r="A39" s="10">
        <v>35</v>
      </c>
      <c r="B39" s="11" t="s">
        <v>85</v>
      </c>
      <c r="C39" s="10" t="s">
        <v>37</v>
      </c>
      <c r="D39" s="11" t="s">
        <v>29</v>
      </c>
      <c r="E39" s="10" t="s">
        <v>27</v>
      </c>
      <c r="F39" s="11" t="s">
        <v>29</v>
      </c>
      <c r="G39" s="10" t="s">
        <v>29</v>
      </c>
      <c r="H39" s="11" t="s">
        <v>29</v>
      </c>
      <c r="I39" s="10"/>
      <c r="J39" s="11"/>
      <c r="K39" s="10"/>
      <c r="L39" s="25">
        <v>2.5912496E-2</v>
      </c>
      <c r="M39" s="26">
        <v>0</v>
      </c>
      <c r="N39" s="26">
        <f t="shared" si="7"/>
        <v>0</v>
      </c>
      <c r="O39" s="10">
        <f t="shared" si="8"/>
        <v>2.5</v>
      </c>
      <c r="P39" s="26">
        <f t="shared" si="12"/>
        <v>1</v>
      </c>
      <c r="Q39" s="10" t="s">
        <v>30</v>
      </c>
      <c r="R39" s="11" t="str">
        <f t="shared" si="9"/>
        <v>No</v>
      </c>
      <c r="S39" s="26">
        <f t="shared" si="10"/>
        <v>0</v>
      </c>
      <c r="T39" s="10">
        <f t="shared" si="11"/>
        <v>1</v>
      </c>
      <c r="U39" s="10">
        <f t="shared" si="6"/>
        <v>27</v>
      </c>
    </row>
    <row r="40" spans="1:21" x14ac:dyDescent="0.2">
      <c r="A40" s="10">
        <v>36</v>
      </c>
      <c r="B40" s="11" t="s">
        <v>86</v>
      </c>
      <c r="C40" s="10" t="s">
        <v>81</v>
      </c>
      <c r="D40" s="11" t="s">
        <v>29</v>
      </c>
      <c r="E40" s="10" t="s">
        <v>27</v>
      </c>
      <c r="F40" s="11" t="s">
        <v>29</v>
      </c>
      <c r="G40" s="10" t="s">
        <v>29</v>
      </c>
      <c r="H40" s="11" t="s">
        <v>29</v>
      </c>
      <c r="I40" s="10"/>
      <c r="J40" s="11"/>
      <c r="K40" s="10"/>
      <c r="L40" s="25">
        <v>2.1698989999999999E-3</v>
      </c>
      <c r="M40" s="26">
        <v>0</v>
      </c>
      <c r="N40" s="26">
        <f t="shared" si="7"/>
        <v>0</v>
      </c>
      <c r="O40" s="10">
        <f t="shared" si="8"/>
        <v>2.5</v>
      </c>
      <c r="P40" s="26">
        <f t="shared" si="12"/>
        <v>1</v>
      </c>
      <c r="Q40" s="10" t="s">
        <v>30</v>
      </c>
      <c r="R40" s="11" t="str">
        <f t="shared" si="9"/>
        <v>No</v>
      </c>
      <c r="S40" s="26">
        <f t="shared" si="10"/>
        <v>0</v>
      </c>
      <c r="T40" s="10">
        <f t="shared" si="11"/>
        <v>1</v>
      </c>
      <c r="U40" s="10">
        <f t="shared" si="6"/>
        <v>27</v>
      </c>
    </row>
    <row r="41" spans="1:21" x14ac:dyDescent="0.2">
      <c r="A41" s="10">
        <v>37</v>
      </c>
      <c r="B41" s="11" t="s">
        <v>39</v>
      </c>
      <c r="C41" s="10" t="s">
        <v>81</v>
      </c>
      <c r="D41" s="11" t="s">
        <v>29</v>
      </c>
      <c r="E41" s="10" t="s">
        <v>27</v>
      </c>
      <c r="F41" s="11" t="s">
        <v>29</v>
      </c>
      <c r="G41" s="10" t="s">
        <v>29</v>
      </c>
      <c r="H41" s="11" t="s">
        <v>29</v>
      </c>
      <c r="I41" s="10"/>
      <c r="J41" s="11"/>
      <c r="K41" s="10"/>
      <c r="L41" s="25">
        <v>28.160877539999912</v>
      </c>
      <c r="M41" s="26">
        <v>25.106073567151412</v>
      </c>
      <c r="N41" s="26">
        <f t="shared" si="7"/>
        <v>5.0212147134302825</v>
      </c>
      <c r="O41" s="10">
        <f t="shared" si="8"/>
        <v>2.5</v>
      </c>
      <c r="P41" s="26">
        <f t="shared" si="12"/>
        <v>-1.0084858853721128</v>
      </c>
      <c r="Q41" s="10" t="s">
        <v>30</v>
      </c>
      <c r="R41" s="11" t="str">
        <f t="shared" si="9"/>
        <v>No</v>
      </c>
      <c r="S41" s="26">
        <f t="shared" si="10"/>
        <v>178.30462514167439</v>
      </c>
      <c r="T41" s="10">
        <f t="shared" si="11"/>
        <v>2</v>
      </c>
      <c r="U41" s="10">
        <f t="shared" si="6"/>
        <v>8</v>
      </c>
    </row>
    <row r="42" spans="1:21" x14ac:dyDescent="0.2">
      <c r="A42" s="10">
        <v>38</v>
      </c>
      <c r="B42" s="11" t="s">
        <v>39</v>
      </c>
      <c r="C42" s="10" t="s">
        <v>35</v>
      </c>
      <c r="D42" s="11" t="s">
        <v>29</v>
      </c>
      <c r="E42" s="10" t="s">
        <v>27</v>
      </c>
      <c r="F42" s="11" t="s">
        <v>29</v>
      </c>
      <c r="G42" s="10" t="s">
        <v>29</v>
      </c>
      <c r="H42" s="11" t="s">
        <v>29</v>
      </c>
      <c r="I42" s="10"/>
      <c r="J42" s="11"/>
      <c r="K42" s="10"/>
      <c r="L42" s="25">
        <v>237.12262790299928</v>
      </c>
      <c r="M42" s="26">
        <v>157.14542343883662</v>
      </c>
      <c r="N42" s="26">
        <f t="shared" si="7"/>
        <v>31.429084687767322</v>
      </c>
      <c r="O42" s="10">
        <f t="shared" si="8"/>
        <v>2.5</v>
      </c>
      <c r="P42" s="26">
        <f t="shared" si="12"/>
        <v>-11.571633875106929</v>
      </c>
      <c r="Q42" s="10" t="s">
        <v>30</v>
      </c>
      <c r="R42" s="11" t="str">
        <f t="shared" si="9"/>
        <v>No</v>
      </c>
      <c r="S42" s="26">
        <f t="shared" si="10"/>
        <v>132.54359132956364</v>
      </c>
      <c r="T42" s="10">
        <f t="shared" si="11"/>
        <v>2</v>
      </c>
      <c r="U42" s="10">
        <f t="shared" si="6"/>
        <v>10</v>
      </c>
    </row>
    <row r="43" spans="1:21" x14ac:dyDescent="0.2">
      <c r="A43" s="10">
        <v>39</v>
      </c>
      <c r="B43" s="11" t="s">
        <v>39</v>
      </c>
      <c r="C43" s="10" t="s">
        <v>37</v>
      </c>
      <c r="D43" s="11" t="s">
        <v>29</v>
      </c>
      <c r="E43" s="10" t="s">
        <v>27</v>
      </c>
      <c r="F43" s="11" t="s">
        <v>29</v>
      </c>
      <c r="G43" s="10" t="s">
        <v>29</v>
      </c>
      <c r="H43" s="11" t="s">
        <v>29</v>
      </c>
      <c r="I43" s="10"/>
      <c r="J43" s="11"/>
      <c r="K43" s="10"/>
      <c r="L43" s="25">
        <v>90.717542641000037</v>
      </c>
      <c r="M43" s="26">
        <v>28.825491873396064</v>
      </c>
      <c r="N43" s="26">
        <f t="shared" si="7"/>
        <v>5.765098374679213</v>
      </c>
      <c r="O43" s="10">
        <f t="shared" si="8"/>
        <v>2.5</v>
      </c>
      <c r="P43" s="26">
        <f t="shared" si="12"/>
        <v>-1.3060393498716851</v>
      </c>
      <c r="Q43" s="10" t="s">
        <v>30</v>
      </c>
      <c r="R43" s="11" t="str">
        <f t="shared" si="9"/>
        <v>No</v>
      </c>
      <c r="S43" s="26">
        <f t="shared" si="10"/>
        <v>63.549983904366265</v>
      </c>
      <c r="T43" s="10">
        <f t="shared" si="11"/>
        <v>1</v>
      </c>
      <c r="U43" s="10">
        <f t="shared" si="6"/>
        <v>15</v>
      </c>
    </row>
    <row r="44" spans="1:21" x14ac:dyDescent="0.2">
      <c r="A44" s="10">
        <v>40</v>
      </c>
      <c r="B44" s="11" t="s">
        <v>87</v>
      </c>
      <c r="C44" s="10" t="s">
        <v>81</v>
      </c>
      <c r="D44" s="11" t="s">
        <v>29</v>
      </c>
      <c r="E44" s="10" t="s">
        <v>27</v>
      </c>
      <c r="F44" s="11" t="s">
        <v>29</v>
      </c>
      <c r="G44" s="10" t="s">
        <v>29</v>
      </c>
      <c r="H44" s="11" t="s">
        <v>29</v>
      </c>
      <c r="I44" s="10"/>
      <c r="J44" s="11"/>
      <c r="K44" s="10"/>
      <c r="L44" s="25">
        <v>0.8742469819999984</v>
      </c>
      <c r="M44" s="26">
        <v>0</v>
      </c>
      <c r="N44" s="26">
        <f t="shared" si="7"/>
        <v>0</v>
      </c>
      <c r="O44" s="10">
        <f t="shared" si="8"/>
        <v>2.5</v>
      </c>
      <c r="P44" s="26">
        <f t="shared" si="12"/>
        <v>1</v>
      </c>
      <c r="Q44" s="10" t="s">
        <v>30</v>
      </c>
      <c r="R44" s="11" t="str">
        <f t="shared" si="9"/>
        <v>No</v>
      </c>
      <c r="S44" s="26">
        <f t="shared" si="10"/>
        <v>0</v>
      </c>
      <c r="T44" s="10">
        <f t="shared" si="11"/>
        <v>1</v>
      </c>
      <c r="U44" s="10">
        <f t="shared" si="6"/>
        <v>27</v>
      </c>
    </row>
    <row r="45" spans="1:21" x14ac:dyDescent="0.2">
      <c r="A45" s="10">
        <v>41</v>
      </c>
      <c r="B45" s="11" t="s">
        <v>87</v>
      </c>
      <c r="C45" s="10" t="s">
        <v>35</v>
      </c>
      <c r="D45" s="11" t="s">
        <v>29</v>
      </c>
      <c r="E45" s="10" t="s">
        <v>27</v>
      </c>
      <c r="F45" s="11" t="s">
        <v>29</v>
      </c>
      <c r="G45" s="10" t="s">
        <v>29</v>
      </c>
      <c r="H45" s="11" t="s">
        <v>29</v>
      </c>
      <c r="I45" s="10"/>
      <c r="J45" s="11"/>
      <c r="K45" s="10"/>
      <c r="L45" s="25">
        <v>2.7165290000000001E-3</v>
      </c>
      <c r="M45" s="26">
        <v>0</v>
      </c>
      <c r="N45" s="26">
        <f>M45/5</f>
        <v>0</v>
      </c>
      <c r="O45" s="10">
        <f t="shared" si="8"/>
        <v>2.5</v>
      </c>
      <c r="P45" s="26">
        <f t="shared" si="12"/>
        <v>1</v>
      </c>
      <c r="Q45" s="10" t="s">
        <v>30</v>
      </c>
      <c r="R45" s="11" t="str">
        <f t="shared" si="9"/>
        <v>No</v>
      </c>
      <c r="S45" s="26">
        <f t="shared" si="10"/>
        <v>0</v>
      </c>
      <c r="T45" s="10">
        <f t="shared" si="11"/>
        <v>1</v>
      </c>
      <c r="U45" s="10">
        <f t="shared" si="6"/>
        <v>27</v>
      </c>
    </row>
    <row r="46" spans="1:21" x14ac:dyDescent="0.2">
      <c r="A46" s="10">
        <v>42</v>
      </c>
      <c r="B46" s="11" t="s">
        <v>87</v>
      </c>
      <c r="C46" s="10" t="s">
        <v>37</v>
      </c>
      <c r="D46" s="11" t="s">
        <v>29</v>
      </c>
      <c r="E46" s="10" t="s">
        <v>27</v>
      </c>
      <c r="F46" s="11" t="s">
        <v>29</v>
      </c>
      <c r="G46" s="10" t="s">
        <v>29</v>
      </c>
      <c r="H46" s="11" t="s">
        <v>29</v>
      </c>
      <c r="I46" s="10"/>
      <c r="J46" s="11"/>
      <c r="K46" s="10"/>
      <c r="L46" s="25">
        <v>501.12434456200134</v>
      </c>
      <c r="M46" s="26">
        <v>51.142001710863987</v>
      </c>
      <c r="N46" s="26">
        <f>M46/5</f>
        <v>10.228400342172797</v>
      </c>
      <c r="O46" s="10">
        <f t="shared" si="8"/>
        <v>2.5</v>
      </c>
      <c r="P46" s="26">
        <f t="shared" si="12"/>
        <v>-3.0913601368691186</v>
      </c>
      <c r="Q46" s="10" t="s">
        <v>30</v>
      </c>
      <c r="R46" s="11" t="str">
        <f t="shared" si="9"/>
        <v>No</v>
      </c>
      <c r="S46" s="26">
        <f t="shared" si="10"/>
        <v>20.410902908963134</v>
      </c>
      <c r="T46" s="10">
        <f t="shared" si="11"/>
        <v>1</v>
      </c>
      <c r="U46" s="10">
        <f t="shared" si="6"/>
        <v>19</v>
      </c>
    </row>
    <row r="47" spans="1:21" x14ac:dyDescent="0.2">
      <c r="A47" s="10">
        <v>43</v>
      </c>
      <c r="B47" s="11" t="s">
        <v>87</v>
      </c>
      <c r="C47" s="10" t="s">
        <v>38</v>
      </c>
      <c r="D47" s="11" t="s">
        <v>29</v>
      </c>
      <c r="E47" s="10" t="s">
        <v>27</v>
      </c>
      <c r="F47" s="11" t="s">
        <v>29</v>
      </c>
      <c r="G47" s="10" t="s">
        <v>29</v>
      </c>
      <c r="H47" s="11" t="s">
        <v>29</v>
      </c>
      <c r="I47" s="10"/>
      <c r="J47" s="11"/>
      <c r="K47" s="10"/>
      <c r="L47" s="25">
        <v>108.40001726800013</v>
      </c>
      <c r="M47" s="26">
        <v>8.3686911890504714</v>
      </c>
      <c r="N47" s="26">
        <f t="shared" si="7"/>
        <v>1.6737382378100942</v>
      </c>
      <c r="O47" s="10">
        <f t="shared" si="8"/>
        <v>2.5</v>
      </c>
      <c r="P47" s="26">
        <f t="shared" si="12"/>
        <v>0.33050470487596229</v>
      </c>
      <c r="Q47" s="10" t="s">
        <v>30</v>
      </c>
      <c r="R47" s="11" t="str">
        <f t="shared" si="9"/>
        <v>Yes</v>
      </c>
      <c r="S47" s="26">
        <f t="shared" si="10"/>
        <v>15.440387188057992</v>
      </c>
      <c r="T47" s="10">
        <f t="shared" si="11"/>
        <v>1</v>
      </c>
      <c r="U47" s="10">
        <f t="shared" si="6"/>
        <v>21</v>
      </c>
    </row>
    <row r="48" spans="1:21" ht="15" thickBot="1" x14ac:dyDescent="0.25">
      <c r="A48" s="10">
        <v>44</v>
      </c>
      <c r="B48" s="11" t="s">
        <v>89</v>
      </c>
      <c r="C48" s="10" t="s">
        <v>38</v>
      </c>
      <c r="D48" s="11" t="s">
        <v>29</v>
      </c>
      <c r="E48" s="10" t="s">
        <v>27</v>
      </c>
      <c r="F48" s="11" t="s">
        <v>29</v>
      </c>
      <c r="G48" s="10" t="s">
        <v>29</v>
      </c>
      <c r="H48" s="11" t="s">
        <v>29</v>
      </c>
      <c r="I48" s="10"/>
      <c r="J48" s="11"/>
      <c r="K48" s="10"/>
      <c r="L48" s="25">
        <v>1.2755257499999997</v>
      </c>
      <c r="M48" s="26">
        <v>0</v>
      </c>
      <c r="N48" s="26">
        <f t="shared" ref="N48" si="13">M48/5</f>
        <v>0</v>
      </c>
      <c r="O48" s="10">
        <f t="shared" ref="O48" si="14">IF(E48="≤320mm",2.5,1)</f>
        <v>2.5</v>
      </c>
      <c r="P48" s="26">
        <f t="shared" ref="P48" si="15">1-(N48/O48)</f>
        <v>1</v>
      </c>
      <c r="Q48" s="10" t="s">
        <v>30</v>
      </c>
      <c r="R48" s="11" t="str">
        <f t="shared" ref="R48" si="16">IF(AND(P48&lt;0.5,P48&gt;-0.5),"Yes","No")</f>
        <v>No</v>
      </c>
      <c r="S48" s="26">
        <f t="shared" ref="S48" si="17">N48/(L48/1000)</f>
        <v>0</v>
      </c>
      <c r="T48" s="10">
        <f t="shared" ref="T48" si="18">IF(S48&lt;=125,1,IF(S48&lt;250,2,IF(S48&lt;500,3,IF(S48&lt;1000,4,5))))</f>
        <v>1</v>
      </c>
      <c r="U48" s="10">
        <f t="shared" si="6"/>
        <v>27</v>
      </c>
    </row>
    <row r="49" spans="1:23" ht="15.75" thickBot="1" x14ac:dyDescent="0.3">
      <c r="M49" s="12" t="s">
        <v>45</v>
      </c>
      <c r="N49" s="28">
        <f>SUM(N5:N48)</f>
        <v>217.39999999999998</v>
      </c>
      <c r="O49" s="12">
        <f>SUM(O5:O48)</f>
        <v>110</v>
      </c>
      <c r="P49" s="28">
        <f>1-(N49/O49)</f>
        <v>-0.9763636363636361</v>
      </c>
      <c r="Q49" s="12" t="s">
        <v>46</v>
      </c>
      <c r="R49" s="12" t="str">
        <f>IF(AND(P49&lt;0.1,P49&gt;-0.1),"Yes","No")</f>
        <v>No</v>
      </c>
      <c r="S49" s="13"/>
    </row>
    <row r="50" spans="1:23" ht="15" thickBot="1" x14ac:dyDescent="0.25">
      <c r="M50" s="14"/>
      <c r="N50" s="14"/>
      <c r="O50" s="12" t="s">
        <v>47</v>
      </c>
      <c r="P50" s="28">
        <f>AVERAGE(P5:P17)</f>
        <v>0.7711127196157137</v>
      </c>
      <c r="Q50" s="12" t="s">
        <v>46</v>
      </c>
      <c r="R50" s="12" t="str">
        <f>IF(AND(P50&lt;0.1,P50&gt;-0.1),"Yes","No")</f>
        <v>No</v>
      </c>
    </row>
    <row r="52" spans="1:23" s="20" customFormat="1" ht="25.15" customHeight="1" x14ac:dyDescent="0.2">
      <c r="A52" s="19" t="s">
        <v>48</v>
      </c>
      <c r="B52" s="19"/>
      <c r="C52" s="19"/>
      <c r="D52" s="19"/>
      <c r="E52" s="19"/>
      <c r="F52" s="19"/>
      <c r="G52" s="19"/>
      <c r="H52" s="19"/>
      <c r="I52" s="19"/>
      <c r="J52" s="19"/>
      <c r="K52" s="19"/>
      <c r="L52" s="19"/>
      <c r="M52" s="19"/>
      <c r="N52" s="19"/>
      <c r="O52" s="19"/>
      <c r="P52" s="19"/>
      <c r="Q52" s="19"/>
      <c r="R52" s="19"/>
      <c r="S52" s="19"/>
      <c r="T52" s="19"/>
      <c r="U52" s="19"/>
      <c r="V52" s="19"/>
      <c r="W52" s="19"/>
    </row>
    <row r="54" spans="1:23" s="15" customFormat="1" ht="38.25" x14ac:dyDescent="0.2">
      <c r="A54" s="9" t="s">
        <v>49</v>
      </c>
      <c r="B54" s="9" t="s">
        <v>24</v>
      </c>
      <c r="C54" s="9" t="s">
        <v>17</v>
      </c>
      <c r="D54" s="9" t="s">
        <v>50</v>
      </c>
      <c r="E54" s="9" t="s">
        <v>51</v>
      </c>
      <c r="F54" s="9" t="s">
        <v>52</v>
      </c>
    </row>
    <row r="55" spans="1:23" x14ac:dyDescent="0.2">
      <c r="A55" s="10" cm="1">
        <f t="array" ref="A55">INDEX(A$5:A$48,_xlfn.XMATCH($B55,$U$5:$U$48),0)</f>
        <v>32</v>
      </c>
      <c r="B55" s="11">
        <v>1</v>
      </c>
      <c r="C55" s="26" cm="1">
        <f t="array" ref="C55">INDEX(N$5:N$48,_xlfn.XMATCH($B55,$U$5:$U$48),0)</f>
        <v>0.3719418306244654</v>
      </c>
      <c r="D55" s="24">
        <f>C55</f>
        <v>0.3719418306244654</v>
      </c>
      <c r="E55" s="26" cm="1">
        <f t="array" ref="E55">INDEX(L$5:L$48,_xlfn.XMATCH($B55,$U$5:$U$48),0)</f>
        <v>0.56399355099999782</v>
      </c>
      <c r="F55" s="24">
        <f>E55</f>
        <v>0.56399355099999782</v>
      </c>
    </row>
    <row r="56" spans="1:23" x14ac:dyDescent="0.2">
      <c r="A56" s="10" cm="1">
        <f t="array" ref="A56">INDEX(A$5:A$48,_xlfn.XMATCH($B56,$U$5:$U$48),0)</f>
        <v>18</v>
      </c>
      <c r="B56" s="11">
        <v>2</v>
      </c>
      <c r="C56" s="26" cm="1">
        <f t="array" ref="C56">INDEX(N$5:N$48,_xlfn.XMATCH($B56,$U$5:$U$48),0)</f>
        <v>0.1859709153122327</v>
      </c>
      <c r="D56" s="24">
        <f>D55+C56</f>
        <v>0.55791274593669815</v>
      </c>
      <c r="E56" s="26" cm="1">
        <f t="array" ref="E56">INDEX(L$5:L$48,_xlfn.XMATCH($B56,$U$5:$U$48),0)</f>
        <v>0.35841562499999963</v>
      </c>
      <c r="F56" s="24">
        <f>F55+E56</f>
        <v>0.9224091759999975</v>
      </c>
    </row>
    <row r="57" spans="1:23" x14ac:dyDescent="0.2">
      <c r="A57" s="10" cm="1">
        <f t="array" ref="A57">INDEX(A$5:A$48,_xlfn.XMATCH($B57,$U$5:$U$48),0)</f>
        <v>17</v>
      </c>
      <c r="B57" s="11">
        <v>3</v>
      </c>
      <c r="C57" s="26" cm="1">
        <f t="array" ref="C57">INDEX(N$5:N$48,_xlfn.XMATCH($B57,$U$5:$U$48),0)</f>
        <v>0.3719418306244654</v>
      </c>
      <c r="D57" s="24">
        <f t="shared" ref="D57:F74" si="19">D56+C57</f>
        <v>0.92985457656116355</v>
      </c>
      <c r="E57" s="26" cm="1">
        <f t="array" ref="E57">INDEX(L$5:L$48,_xlfn.XMATCH($B57,$U$5:$U$48),0)</f>
        <v>0.72117647599999957</v>
      </c>
      <c r="F57" s="24">
        <f t="shared" si="19"/>
        <v>1.643585651999997</v>
      </c>
    </row>
    <row r="58" spans="1:23" x14ac:dyDescent="0.2">
      <c r="A58" s="10" cm="1">
        <f t="array" ref="A58">INDEX(A$5:A$48,_xlfn.XMATCH($B58,$U$5:$U$48),0)</f>
        <v>31</v>
      </c>
      <c r="B58" s="11">
        <v>4</v>
      </c>
      <c r="C58" s="26" cm="1">
        <f t="array" ref="C58">INDEX(N$5:N$48,_xlfn.XMATCH($B58,$U$5:$U$48),0)</f>
        <v>4.4633019674935843</v>
      </c>
      <c r="D58" s="24">
        <f t="shared" si="19"/>
        <v>5.3931565440547482</v>
      </c>
      <c r="E58" s="26" cm="1">
        <f t="array" ref="E58">INDEX(L$5:L$48,_xlfn.XMATCH($B58,$U$5:$U$48),0)</f>
        <v>14.854090557999989</v>
      </c>
      <c r="F58" s="24">
        <f t="shared" si="19"/>
        <v>16.497676209999987</v>
      </c>
    </row>
    <row r="59" spans="1:23" x14ac:dyDescent="0.2">
      <c r="A59" s="10" cm="1">
        <f t="array" ref="A59">INDEX(A$5:A$48,_xlfn.XMATCH($B59,$U$5:$U$48),0)</f>
        <v>28</v>
      </c>
      <c r="B59" s="11">
        <v>5</v>
      </c>
      <c r="C59" s="26" cm="1">
        <f t="array" ref="C59">INDEX(N$5:N$48,_xlfn.XMATCH($B59,$U$5:$U$48),0)</f>
        <v>21.572626176218993</v>
      </c>
      <c r="D59" s="24">
        <f t="shared" si="19"/>
        <v>26.96578272027374</v>
      </c>
      <c r="E59" s="26" cm="1">
        <f t="array" ref="E59">INDEX(L$5:L$48,_xlfn.XMATCH($B59,$U$5:$U$48),0)</f>
        <v>97.274523075999653</v>
      </c>
      <c r="F59" s="24">
        <f t="shared" si="19"/>
        <v>113.77219928599965</v>
      </c>
    </row>
    <row r="60" spans="1:23" x14ac:dyDescent="0.2">
      <c r="A60" s="10" cm="1">
        <f t="array" ref="A60">INDEX(A$5:A$48,_xlfn.XMATCH($B60,$U$5:$U$48),0)</f>
        <v>27</v>
      </c>
      <c r="B60" s="11">
        <v>6</v>
      </c>
      <c r="C60" s="26" cm="1">
        <f t="array" ref="C60">INDEX(N$5:N$48,_xlfn.XMATCH($B60,$U$5:$U$48),0)</f>
        <v>22.688451668092387</v>
      </c>
      <c r="D60" s="24">
        <f t="shared" si="19"/>
        <v>49.654234388366127</v>
      </c>
      <c r="E60" s="26" cm="1">
        <f t="array" ref="E60">INDEX(L$5:L$48,_xlfn.XMATCH($B60,$U$5:$U$48),0)</f>
        <v>112.56966835199967</v>
      </c>
      <c r="F60" s="24">
        <f t="shared" si="19"/>
        <v>226.34186763799931</v>
      </c>
    </row>
    <row r="61" spans="1:23" x14ac:dyDescent="0.2">
      <c r="A61" s="10" cm="1">
        <f t="array" ref="A61">INDEX(A$5:A$48,_xlfn.XMATCH($B61,$U$5:$U$48),0)</f>
        <v>34</v>
      </c>
      <c r="B61" s="11">
        <v>7</v>
      </c>
      <c r="C61" s="26" cm="1">
        <f t="array" ref="C61">INDEX(N$5:N$48,_xlfn.XMATCH($B61,$U$5:$U$48),0)</f>
        <v>5.2071856287425149</v>
      </c>
      <c r="D61" s="24">
        <f t="shared" si="19"/>
        <v>54.861420017108642</v>
      </c>
      <c r="E61" s="26" cm="1">
        <f t="array" ref="E61">INDEX(L$5:L$48,_xlfn.XMATCH($B61,$U$5:$U$48),0)</f>
        <v>26.919277757999978</v>
      </c>
      <c r="F61" s="24">
        <f t="shared" si="19"/>
        <v>253.26114539599928</v>
      </c>
    </row>
    <row r="62" spans="1:23" x14ac:dyDescent="0.2">
      <c r="A62" s="10" cm="1">
        <f t="array" ref="A62">INDEX(A$5:A$48,_xlfn.XMATCH($B62,$U$5:$U$48),0)</f>
        <v>37</v>
      </c>
      <c r="B62" s="11">
        <v>8</v>
      </c>
      <c r="C62" s="26" cm="1">
        <f t="array" ref="C62">INDEX(N$5:N$48,_xlfn.XMATCH($B62,$U$5:$U$48),0)</f>
        <v>5.0212147134302825</v>
      </c>
      <c r="D62" s="24">
        <f t="shared" si="19"/>
        <v>59.882634730538925</v>
      </c>
      <c r="E62" s="26" cm="1">
        <f t="array" ref="E62">INDEX(L$5:L$48,_xlfn.XMATCH($B62,$U$5:$U$48),0)</f>
        <v>28.160877539999912</v>
      </c>
      <c r="F62" s="24">
        <f t="shared" si="19"/>
        <v>281.42202293599917</v>
      </c>
    </row>
    <row r="63" spans="1:23" x14ac:dyDescent="0.2">
      <c r="A63" s="10" cm="1">
        <f t="array" ref="A63">INDEX(A$5:A$48,_xlfn.XMATCH($B63,$U$5:$U$48),0)</f>
        <v>22</v>
      </c>
      <c r="B63" s="11">
        <v>9</v>
      </c>
      <c r="C63" s="26" cm="1">
        <f t="array" ref="C63">INDEX(N$5:N$48,_xlfn.XMATCH($B63,$U$5:$U$48),0)</f>
        <v>67.507442258340461</v>
      </c>
      <c r="D63" s="24">
        <f t="shared" si="19"/>
        <v>127.39007698887939</v>
      </c>
      <c r="E63" s="26" cm="1">
        <f t="array" ref="E63">INDEX(L$5:L$48,_xlfn.XMATCH($B63,$U$5:$U$48),0)</f>
        <v>394.05028702299938</v>
      </c>
      <c r="F63" s="24">
        <f t="shared" si="19"/>
        <v>675.47230995899849</v>
      </c>
    </row>
    <row r="64" spans="1:23" x14ac:dyDescent="0.2">
      <c r="A64" s="10" cm="1">
        <f t="array" ref="A64">INDEX(A$5:A$48,_xlfn.XMATCH($B64,$U$5:$U$48),0)</f>
        <v>38</v>
      </c>
      <c r="B64" s="11">
        <v>10</v>
      </c>
      <c r="C64" s="26" cm="1">
        <f t="array" ref="C64">INDEX(N$5:N$48,_xlfn.XMATCH($B64,$U$5:$U$48),0)</f>
        <v>31.429084687767322</v>
      </c>
      <c r="D64" s="24">
        <f t="shared" si="19"/>
        <v>158.8191616766467</v>
      </c>
      <c r="E64" s="26" cm="1">
        <f t="array" ref="E64">INDEX(L$5:L$48,_xlfn.XMATCH($B64,$U$5:$U$48),0)</f>
        <v>237.12262790299928</v>
      </c>
      <c r="F64" s="24">
        <f t="shared" si="19"/>
        <v>912.59493786199778</v>
      </c>
    </row>
    <row r="65" spans="1:6" x14ac:dyDescent="0.2">
      <c r="A65" s="10" cm="1">
        <f t="array" ref="A65">INDEX(A$5:A$48,_xlfn.XMATCH($B65,$U$5:$U$48),0)</f>
        <v>33</v>
      </c>
      <c r="B65" s="11">
        <v>11</v>
      </c>
      <c r="C65" s="26" cm="1">
        <f t="array" ref="C65">INDEX(N$5:N$48,_xlfn.XMATCH($B65,$U$5:$U$48),0)</f>
        <v>0.92985457656116355</v>
      </c>
      <c r="D65" s="24">
        <f t="shared" si="19"/>
        <v>159.74901625320786</v>
      </c>
      <c r="E65" s="26" cm="1">
        <f t="array" ref="E65">INDEX(L$5:L$48,_xlfn.XMATCH($B65,$U$5:$U$48),0)</f>
        <v>7.2270325509999891</v>
      </c>
      <c r="F65" s="24">
        <f t="shared" si="19"/>
        <v>919.82197041299776</v>
      </c>
    </row>
    <row r="66" spans="1:6" x14ac:dyDescent="0.2">
      <c r="A66" s="10" cm="1">
        <f t="array" ref="A66">INDEX(A$5:A$48,_xlfn.XMATCH($B66,$U$5:$U$48),0)</f>
        <v>26</v>
      </c>
      <c r="B66" s="11">
        <v>12</v>
      </c>
      <c r="C66" s="26" cm="1">
        <f t="array" ref="C66">INDEX(N$5:N$48,_xlfn.XMATCH($B66,$U$5:$U$48),0)</f>
        <v>15.993498716852011</v>
      </c>
      <c r="D66" s="24">
        <f t="shared" si="19"/>
        <v>175.74251497005986</v>
      </c>
      <c r="E66" s="26" cm="1">
        <f t="array" ref="E66">INDEX(L$5:L$48,_xlfn.XMATCH($B66,$U$5:$U$48),0)</f>
        <v>129.58152536999975</v>
      </c>
      <c r="F66" s="24">
        <f t="shared" si="19"/>
        <v>1049.4034957829974</v>
      </c>
    </row>
    <row r="67" spans="1:6" x14ac:dyDescent="0.2">
      <c r="A67" s="10" cm="1">
        <f t="array" ref="A67">INDEX(A$5:A$48,_xlfn.XMATCH($B67,$U$5:$U$48),0)</f>
        <v>24</v>
      </c>
      <c r="B67" s="11">
        <v>13</v>
      </c>
      <c r="C67" s="26" cm="1">
        <f t="array" ref="C67">INDEX(N$5:N$48,_xlfn.XMATCH($B67,$U$5:$U$48),0)</f>
        <v>4.2773310521813519</v>
      </c>
      <c r="D67" s="24">
        <f t="shared" si="19"/>
        <v>180.01984602224121</v>
      </c>
      <c r="E67" s="26" cm="1">
        <f t="array" ref="E67">INDEX(L$5:L$48,_xlfn.XMATCH($B67,$U$5:$U$48),0)</f>
        <v>40.780441662000001</v>
      </c>
      <c r="F67" s="24">
        <f t="shared" si="19"/>
        <v>1090.1839374449974</v>
      </c>
    </row>
    <row r="68" spans="1:6" x14ac:dyDescent="0.2">
      <c r="A68" s="10" cm="1">
        <f t="array" ref="A68">INDEX(A$5:A$48,_xlfn.XMATCH($B68,$U$5:$U$48),0)</f>
        <v>25</v>
      </c>
      <c r="B68" s="11">
        <v>14</v>
      </c>
      <c r="C68" s="26" cm="1">
        <f t="array" ref="C68">INDEX(N$5:N$48,_xlfn.XMATCH($B68,$U$5:$U$48),0)</f>
        <v>5.3931565440547482</v>
      </c>
      <c r="D68" s="24">
        <f t="shared" si="19"/>
        <v>185.41300256629597</v>
      </c>
      <c r="E68" s="26" cm="1">
        <f t="array" ref="E68">INDEX(L$5:L$48,_xlfn.XMATCH($B68,$U$5:$U$48),0)</f>
        <v>73.875924315999782</v>
      </c>
      <c r="F68" s="24">
        <f t="shared" si="19"/>
        <v>1164.0598617609971</v>
      </c>
    </row>
    <row r="69" spans="1:6" x14ac:dyDescent="0.2">
      <c r="A69" s="10" cm="1">
        <f t="array" ref="A69">INDEX(A$5:A$48,_xlfn.XMATCH($B69,$U$5:$U$48),0)</f>
        <v>39</v>
      </c>
      <c r="B69" s="11">
        <v>15</v>
      </c>
      <c r="C69" s="26" cm="1">
        <f t="array" ref="C69">INDEX(N$5:N$48,_xlfn.XMATCH($B69,$U$5:$U$48),0)</f>
        <v>5.765098374679213</v>
      </c>
      <c r="D69" s="24">
        <f t="shared" si="19"/>
        <v>191.17810094097518</v>
      </c>
      <c r="E69" s="26" cm="1">
        <f t="array" ref="E69">INDEX(L$5:L$48,_xlfn.XMATCH($B69,$U$5:$U$48),0)</f>
        <v>90.717542641000037</v>
      </c>
      <c r="F69" s="24">
        <f t="shared" si="19"/>
        <v>1254.7774044019973</v>
      </c>
    </row>
    <row r="70" spans="1:6" x14ac:dyDescent="0.2">
      <c r="A70" s="10" cm="1">
        <f t="array" ref="A70">INDEX(A$5:A$48,_xlfn.XMATCH($B70,$U$5:$U$48),0)</f>
        <v>23</v>
      </c>
      <c r="B70" s="11">
        <v>16</v>
      </c>
      <c r="C70" s="26" cm="1">
        <f t="array" ref="C70">INDEX(N$5:N$48,_xlfn.XMATCH($B70,$U$5:$U$48),0)</f>
        <v>2.6035928143712574</v>
      </c>
      <c r="D70" s="24">
        <f t="shared" si="19"/>
        <v>193.78169375534645</v>
      </c>
      <c r="E70" s="26" cm="1">
        <f t="array" ref="E70">INDEX(L$5:L$48,_xlfn.XMATCH($B70,$U$5:$U$48),0)</f>
        <v>44.047649547000034</v>
      </c>
      <c r="F70" s="24">
        <f t="shared" si="19"/>
        <v>1298.8250539489973</v>
      </c>
    </row>
    <row r="71" spans="1:6" x14ac:dyDescent="0.2">
      <c r="A71" s="10" cm="1">
        <f t="array" ref="A71">INDEX(A$5:A$48,_xlfn.XMATCH($B71,$U$5:$U$48),0)</f>
        <v>14</v>
      </c>
      <c r="B71" s="11">
        <v>17</v>
      </c>
      <c r="C71" s="26" cm="1">
        <f t="array" ref="C71">INDEX(N$5:N$48,_xlfn.XMATCH($B71,$U$5:$U$48),0)</f>
        <v>1.1158254918733961</v>
      </c>
      <c r="D71" s="24">
        <f t="shared" si="19"/>
        <v>194.89751924721986</v>
      </c>
      <c r="E71" s="26" cm="1">
        <f t="array" ref="E71">INDEX(L$5:L$48,_xlfn.XMATCH($B71,$U$5:$U$48),0)</f>
        <v>27.849266046999958</v>
      </c>
      <c r="F71" s="24">
        <f t="shared" si="19"/>
        <v>1326.6743199959972</v>
      </c>
    </row>
    <row r="72" spans="1:6" x14ac:dyDescent="0.2">
      <c r="A72" s="10" cm="1">
        <f t="array" ref="A72">INDEX(A$5:A$48,_xlfn.XMATCH($B72,$U$5:$U$48),0)</f>
        <v>15</v>
      </c>
      <c r="B72" s="11">
        <v>18</v>
      </c>
      <c r="C72" s="26" cm="1">
        <f t="array" ref="C72">INDEX(N$5:N$48,_xlfn.XMATCH($B72,$U$5:$U$48),0)</f>
        <v>2.417621899059025</v>
      </c>
      <c r="D72" s="24">
        <f t="shared" si="19"/>
        <v>197.31514114627888</v>
      </c>
      <c r="E72" s="26" cm="1">
        <f t="array" ref="E72">INDEX(L$5:L$48,_xlfn.XMATCH($B72,$U$5:$U$48),0)</f>
        <v>117.52225589399988</v>
      </c>
      <c r="F72" s="24">
        <f t="shared" si="19"/>
        <v>1444.1965758899971</v>
      </c>
    </row>
    <row r="73" spans="1:6" x14ac:dyDescent="0.2">
      <c r="A73" s="10" cm="1">
        <f t="array" ref="A73">INDEX(A$5:A$48,_xlfn.XMATCH($B73,$U$5:$U$48),0)</f>
        <v>42</v>
      </c>
      <c r="B73" s="11">
        <v>19</v>
      </c>
      <c r="C73" s="26" cm="1">
        <f t="array" ref="C73">INDEX(N$5:N$48,_xlfn.XMATCH($B73,$U$5:$U$48),0)</f>
        <v>10.228400342172797</v>
      </c>
      <c r="D73" s="24">
        <f t="shared" si="19"/>
        <v>207.54354148845167</v>
      </c>
      <c r="E73" s="26" cm="1">
        <f t="array" ref="E73">INDEX(L$5:L$48,_xlfn.XMATCH($B73,$U$5:$U$48),0)</f>
        <v>501.12434456200134</v>
      </c>
      <c r="F73" s="24">
        <f t="shared" si="19"/>
        <v>1945.3209204519985</v>
      </c>
    </row>
    <row r="74" spans="1:6" x14ac:dyDescent="0.2">
      <c r="A74" s="10" cm="1">
        <f t="array" ref="A74">INDEX(A$5:A$48,_xlfn.XMATCH($B74,$U$5:$U$48),0)</f>
        <v>12</v>
      </c>
      <c r="B74" s="11">
        <v>20</v>
      </c>
      <c r="C74" s="26" cm="1">
        <f t="array" ref="C74">INDEX(N$5:N$48,_xlfn.XMATCH($B74,$U$5:$U$48),0)</f>
        <v>5.5791274593669806</v>
      </c>
      <c r="D74" s="24">
        <f t="shared" si="19"/>
        <v>213.12266894781865</v>
      </c>
      <c r="E74" s="26" cm="1">
        <f t="array" ref="E74">INDEX(L$5:L$48,_xlfn.XMATCH($B74,$U$5:$U$48),0)</f>
        <v>342.59096181999956</v>
      </c>
      <c r="F74" s="24">
        <f t="shared" si="19"/>
        <v>2287.9118822719979</v>
      </c>
    </row>
    <row r="75" spans="1:6" x14ac:dyDescent="0.2">
      <c r="A75" s="10" cm="1">
        <f t="array" ref="A75">INDEX(A$5:A$48,_xlfn.XMATCH($B75,$U$5:$U$48),0)</f>
        <v>43</v>
      </c>
      <c r="B75" s="11">
        <v>21</v>
      </c>
      <c r="C75" s="26" cm="1">
        <f t="array" ref="C75">INDEX(N$5:N$48,_xlfn.XMATCH($B75,$U$5:$U$48),0)</f>
        <v>1.6737382378100942</v>
      </c>
      <c r="D75" s="24">
        <f t="shared" ref="D75:D81" si="20">D74+C75</f>
        <v>214.79640718562874</v>
      </c>
      <c r="E75" s="26" cm="1">
        <f t="array" ref="E75">INDEX(L$5:L$48,_xlfn.XMATCH($B75,$U$5:$U$48),0)</f>
        <v>108.40001726800013</v>
      </c>
      <c r="F75" s="24">
        <f t="shared" ref="F75:F81" si="21">F74+E75</f>
        <v>2396.3118995399982</v>
      </c>
    </row>
    <row r="76" spans="1:6" x14ac:dyDescent="0.2">
      <c r="A76" s="10" cm="1">
        <f t="array" ref="A76">INDEX(A$5:A$48,_xlfn.XMATCH($B76,$U$5:$U$48),0)</f>
        <v>6</v>
      </c>
      <c r="B76" s="11">
        <v>22</v>
      </c>
      <c r="C76" s="26" cm="1">
        <f t="array" ref="C76">INDEX(N$5:N$48,_xlfn.XMATCH($B76,$U$5:$U$48),0)</f>
        <v>0.55791274593669804</v>
      </c>
      <c r="D76" s="24">
        <f t="shared" si="20"/>
        <v>215.35431993156544</v>
      </c>
      <c r="E76" s="26" cm="1">
        <f t="array" ref="E76">INDEX(L$5:L$48,_xlfn.XMATCH($B76,$U$5:$U$48),0)</f>
        <v>37.082208665999985</v>
      </c>
      <c r="F76" s="24">
        <f t="shared" si="21"/>
        <v>2433.3941082059982</v>
      </c>
    </row>
    <row r="77" spans="1:6" x14ac:dyDescent="0.2">
      <c r="A77" s="10" cm="1">
        <f t="array" ref="A77">INDEX(A$5:A$48,_xlfn.XMATCH($B77,$U$5:$U$48),0)</f>
        <v>16</v>
      </c>
      <c r="B77" s="11">
        <v>23</v>
      </c>
      <c r="C77" s="26" cm="1">
        <f t="array" ref="C77">INDEX(N$5:N$48,_xlfn.XMATCH($B77,$U$5:$U$48),0)</f>
        <v>0.74388366124893079</v>
      </c>
      <c r="D77" s="24">
        <f t="shared" si="20"/>
        <v>216.09820359281437</v>
      </c>
      <c r="E77" s="26" cm="1">
        <f t="array" ref="E77">INDEX(L$5:L$48,_xlfn.XMATCH($B77,$U$5:$U$48),0)</f>
        <v>62.061862880999954</v>
      </c>
      <c r="F77" s="24">
        <f t="shared" si="21"/>
        <v>2495.455971086998</v>
      </c>
    </row>
    <row r="78" spans="1:6" x14ac:dyDescent="0.2">
      <c r="A78" s="10" cm="1">
        <f t="array" ref="A78">INDEX(A$5:A$48,_xlfn.XMATCH($B78,$U$5:$U$48),0)</f>
        <v>5</v>
      </c>
      <c r="B78" s="11">
        <v>24</v>
      </c>
      <c r="C78" s="26" cm="1">
        <f t="array" ref="C78">INDEX(N$5:N$48,_xlfn.XMATCH($B78,$U$5:$U$48),0)</f>
        <v>0.1859709153122327</v>
      </c>
      <c r="D78" s="24">
        <f t="shared" si="20"/>
        <v>216.2841745081266</v>
      </c>
      <c r="E78" s="26" cm="1">
        <f t="array" ref="E78">INDEX(L$5:L$48,_xlfn.XMATCH($B78,$U$5:$U$48),0)</f>
        <v>31.594418440999974</v>
      </c>
      <c r="F78" s="24">
        <f t="shared" si="21"/>
        <v>2527.050389527998</v>
      </c>
    </row>
    <row r="79" spans="1:6" x14ac:dyDescent="0.2">
      <c r="A79" s="10" cm="1">
        <f t="array" ref="A79">INDEX(A$5:A$48,_xlfn.XMATCH($B79,$U$5:$U$48),0)</f>
        <v>7</v>
      </c>
      <c r="B79" s="11">
        <v>25</v>
      </c>
      <c r="C79" s="26" cm="1">
        <f t="array" ref="C79">INDEX(N$5:N$48,_xlfn.XMATCH($B79,$U$5:$U$48),0)</f>
        <v>0.1859709153122327</v>
      </c>
      <c r="D79" s="24">
        <f t="shared" si="20"/>
        <v>216.47014542343882</v>
      </c>
      <c r="E79" s="26" cm="1">
        <f t="array" ref="E79">INDEX(L$5:L$48,_xlfn.XMATCH($B79,$U$5:$U$48),0)</f>
        <v>42.974096796999888</v>
      </c>
      <c r="F79" s="24">
        <f t="shared" si="21"/>
        <v>2570.0244863249977</v>
      </c>
    </row>
    <row r="80" spans="1:6" x14ac:dyDescent="0.2">
      <c r="A80" s="10" cm="1">
        <f t="array" ref="A80">INDEX(A$5:A$48,_xlfn.XMATCH($B80,$U$5:$U$48),0)</f>
        <v>1</v>
      </c>
      <c r="B80" s="11">
        <v>26</v>
      </c>
      <c r="C80" s="26" cm="1">
        <f t="array" ref="C80">INDEX(N$5:N$48,_xlfn.XMATCH($B80,$U$5:$U$48),0)</f>
        <v>0.92985457656116355</v>
      </c>
      <c r="D80" s="24">
        <f t="shared" si="20"/>
        <v>217.39999999999998</v>
      </c>
      <c r="E80" s="26" cm="1">
        <f t="array" ref="E80">INDEX(L$5:L$48,_xlfn.XMATCH($B80,$U$5:$U$48),0)</f>
        <v>304.08555806900085</v>
      </c>
      <c r="F80" s="24">
        <f t="shared" si="21"/>
        <v>2874.1100443939986</v>
      </c>
    </row>
    <row r="81" spans="1:6" x14ac:dyDescent="0.2">
      <c r="A81" s="10" cm="1">
        <f t="array" ref="A81">INDEX(A$5:A$48,_xlfn.XMATCH($B81,$U$5:$U$48),0)</f>
        <v>2</v>
      </c>
      <c r="B81" s="11">
        <v>27</v>
      </c>
      <c r="C81" s="26">
        <f>SUMIFS(N5:N48,U5:U48,B81)</f>
        <v>0</v>
      </c>
      <c r="D81" s="24">
        <f t="shared" si="20"/>
        <v>217.39999999999998</v>
      </c>
      <c r="E81" s="26">
        <f>SUMIFS(L5:L48,U5:U48,B81)</f>
        <v>8.6279319059999917</v>
      </c>
      <c r="F81" s="24">
        <f t="shared" si="21"/>
        <v>2882.7379762999985</v>
      </c>
    </row>
  </sheetData>
  <dataValidations count="7">
    <dataValidation type="list" allowBlank="1" showInputMessage="1" showErrorMessage="1" sqref="B5:B48" xr:uid="{530EC094-C79C-4F0C-BB90-0AAFBD519190}">
      <formula1>Material</formula1>
    </dataValidation>
    <dataValidation type="list" allowBlank="1" showInputMessage="1" showErrorMessage="1" sqref="C5:C48" xr:uid="{54F0A47C-CBD4-4D9F-A47E-524F29438C8C}">
      <formula1>Age</formula1>
    </dataValidation>
    <dataValidation type="list" allowBlank="1" showInputMessage="1" showErrorMessage="1" sqref="D5:D48" xr:uid="{763E4978-F33F-4D30-9954-978966F44795}">
      <formula1>S_Age</formula1>
    </dataValidation>
    <dataValidation type="list" allowBlank="1" showInputMessage="1" showErrorMessage="1" sqref="E5:E48" xr:uid="{965DBB6D-5FC5-4E09-9980-C47C9CEB6760}">
      <formula1>Pipe_size</formula1>
    </dataValidation>
    <dataValidation type="list" allowBlank="1" showInputMessage="1" showErrorMessage="1" sqref="F5:F48" xr:uid="{05E13FD0-25FE-4C6D-BC3B-6225AE92074A}">
      <formula1>S_Pipe_size</formula1>
    </dataValidation>
    <dataValidation type="list" allowBlank="1" showInputMessage="1" showErrorMessage="1" sqref="G5:G48" xr:uid="{AAA3CB6A-F08A-4B5D-B1F6-AE101A48E810}">
      <formula1>Corrosivity</formula1>
    </dataValidation>
    <dataValidation type="list" allowBlank="1" showInputMessage="1" showErrorMessage="1" sqref="H5:H48" xr:uid="{97CF52B4-1B45-4868-8F9F-C3DDCE8A46F3}">
      <formula1>Fracture_potential</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7671-9F77-4C2C-A969-B5E17612ECEE}">
  <dimension ref="A2:J20"/>
  <sheetViews>
    <sheetView workbookViewId="0">
      <selection activeCell="F14" sqref="F14"/>
    </sheetView>
  </sheetViews>
  <sheetFormatPr defaultRowHeight="14.25" x14ac:dyDescent="0.2"/>
  <cols>
    <col min="1" max="1" width="9.75" customWidth="1"/>
    <col min="2" max="2" width="10.75" bestFit="1" customWidth="1"/>
    <col min="3" max="3" width="15.625" customWidth="1"/>
    <col min="4" max="4" width="18.125" bestFit="1" customWidth="1"/>
    <col min="5" max="6" width="16.375" customWidth="1"/>
    <col min="7" max="7" width="12" customWidth="1"/>
    <col min="8" max="8" width="19.25" bestFit="1" customWidth="1"/>
    <col min="9" max="9" width="12" customWidth="1"/>
  </cols>
  <sheetData>
    <row r="2" spans="1:10" ht="78.75" customHeight="1" x14ac:dyDescent="0.2">
      <c r="A2" s="6" t="s">
        <v>3</v>
      </c>
      <c r="B2" s="6" t="s">
        <v>3</v>
      </c>
      <c r="C2" s="6" t="s">
        <v>4</v>
      </c>
      <c r="D2" s="6" t="s">
        <v>3</v>
      </c>
      <c r="E2" s="6" t="s">
        <v>4</v>
      </c>
      <c r="F2" s="6" t="s">
        <v>4</v>
      </c>
      <c r="G2" s="6" t="s">
        <v>4</v>
      </c>
      <c r="H2" s="6" t="s">
        <v>4</v>
      </c>
      <c r="I2" s="6" t="s">
        <v>53</v>
      </c>
      <c r="J2" s="6" t="s">
        <v>53</v>
      </c>
    </row>
    <row r="3" spans="1:10" ht="76.5" x14ac:dyDescent="0.2">
      <c r="A3" s="6" t="s">
        <v>7</v>
      </c>
      <c r="B3" s="6" t="s">
        <v>8</v>
      </c>
      <c r="C3" s="6" t="s">
        <v>54</v>
      </c>
      <c r="D3" s="6" t="s">
        <v>9</v>
      </c>
      <c r="E3" s="6" t="s">
        <v>55</v>
      </c>
      <c r="F3" s="6" t="s">
        <v>56</v>
      </c>
      <c r="G3" s="6" t="s">
        <v>57</v>
      </c>
      <c r="H3" s="6" t="s">
        <v>58</v>
      </c>
      <c r="I3" s="6" t="s">
        <v>23</v>
      </c>
      <c r="J3" s="6" t="s">
        <v>59</v>
      </c>
    </row>
    <row r="4" spans="1:10" ht="24" x14ac:dyDescent="0.2">
      <c r="A4" s="7" t="s">
        <v>80</v>
      </c>
      <c r="B4" s="7" t="s">
        <v>81</v>
      </c>
      <c r="C4" s="7" t="s">
        <v>29</v>
      </c>
      <c r="D4" s="7" t="s">
        <v>27</v>
      </c>
      <c r="E4" s="7" t="s">
        <v>29</v>
      </c>
      <c r="F4" s="7" t="s">
        <v>32</v>
      </c>
      <c r="G4" s="7" t="s">
        <v>32</v>
      </c>
      <c r="H4" s="7" t="s">
        <v>61</v>
      </c>
      <c r="I4" s="7">
        <v>1</v>
      </c>
      <c r="J4" s="7">
        <v>125</v>
      </c>
    </row>
    <row r="5" spans="1:10" x14ac:dyDescent="0.2">
      <c r="A5" s="7" t="s">
        <v>82</v>
      </c>
      <c r="B5" s="7" t="s">
        <v>60</v>
      </c>
      <c r="C5" s="7" t="s">
        <v>60</v>
      </c>
      <c r="D5" s="7" t="s">
        <v>63</v>
      </c>
      <c r="E5" s="7" t="s">
        <v>64</v>
      </c>
      <c r="F5" s="7" t="s">
        <v>33</v>
      </c>
      <c r="G5" s="7" t="s">
        <v>33</v>
      </c>
      <c r="H5" s="5"/>
      <c r="I5" s="7">
        <v>2</v>
      </c>
      <c r="J5" s="7">
        <v>250</v>
      </c>
    </row>
    <row r="6" spans="1:10" x14ac:dyDescent="0.2">
      <c r="A6" s="7" t="s">
        <v>84</v>
      </c>
      <c r="B6" s="7" t="s">
        <v>62</v>
      </c>
      <c r="C6" s="7" t="s">
        <v>65</v>
      </c>
      <c r="D6" s="7" t="s">
        <v>41</v>
      </c>
      <c r="E6" s="7" t="s">
        <v>28</v>
      </c>
      <c r="F6" s="7" t="s">
        <v>34</v>
      </c>
      <c r="G6" s="7" t="s">
        <v>34</v>
      </c>
      <c r="H6" s="5"/>
      <c r="I6" s="7">
        <v>3</v>
      </c>
      <c r="J6" s="7">
        <v>500</v>
      </c>
    </row>
    <row r="7" spans="1:10" x14ac:dyDescent="0.2">
      <c r="A7" s="7" t="s">
        <v>83</v>
      </c>
      <c r="B7" s="7" t="s">
        <v>40</v>
      </c>
      <c r="C7" s="7" t="s">
        <v>66</v>
      </c>
      <c r="D7" s="7" t="s">
        <v>67</v>
      </c>
      <c r="E7" s="7" t="s">
        <v>44</v>
      </c>
      <c r="F7" s="7" t="s">
        <v>29</v>
      </c>
      <c r="G7" s="7" t="s">
        <v>29</v>
      </c>
      <c r="H7" s="5"/>
      <c r="I7" s="7">
        <v>4</v>
      </c>
      <c r="J7" s="7">
        <v>1000</v>
      </c>
    </row>
    <row r="8" spans="1:10" x14ac:dyDescent="0.2">
      <c r="A8" s="7" t="s">
        <v>90</v>
      </c>
      <c r="B8" s="7" t="s">
        <v>42</v>
      </c>
      <c r="C8" s="7" t="s">
        <v>68</v>
      </c>
      <c r="D8" s="5"/>
      <c r="E8" s="7" t="s">
        <v>69</v>
      </c>
      <c r="F8" s="5"/>
      <c r="H8" s="5"/>
      <c r="I8" s="7">
        <v>5</v>
      </c>
      <c r="J8" s="7">
        <v>2000</v>
      </c>
    </row>
    <row r="9" spans="1:10" ht="36" x14ac:dyDescent="0.2">
      <c r="A9" s="7" t="s">
        <v>85</v>
      </c>
      <c r="B9" s="7" t="s">
        <v>25</v>
      </c>
      <c r="C9" s="7" t="s">
        <v>70</v>
      </c>
      <c r="D9" s="5"/>
      <c r="E9" s="7" t="s">
        <v>63</v>
      </c>
      <c r="F9" s="5"/>
    </row>
    <row r="10" spans="1:10" ht="24" x14ac:dyDescent="0.2">
      <c r="A10" s="7" t="s">
        <v>86</v>
      </c>
      <c r="B10" s="7" t="s">
        <v>35</v>
      </c>
      <c r="C10" s="7" t="s">
        <v>43</v>
      </c>
      <c r="D10" s="5"/>
      <c r="E10" s="7" t="s">
        <v>41</v>
      </c>
      <c r="F10" s="5"/>
    </row>
    <row r="11" spans="1:10" x14ac:dyDescent="0.2">
      <c r="A11" s="7" t="s">
        <v>39</v>
      </c>
      <c r="B11" s="7" t="s">
        <v>37</v>
      </c>
      <c r="C11" s="7" t="s">
        <v>71</v>
      </c>
      <c r="D11" s="5"/>
      <c r="E11" s="5"/>
      <c r="F11" s="5"/>
    </row>
    <row r="12" spans="1:10" x14ac:dyDescent="0.2">
      <c r="A12" s="7" t="s">
        <v>87</v>
      </c>
      <c r="B12" s="7" t="s">
        <v>38</v>
      </c>
      <c r="C12" s="7" t="s">
        <v>26</v>
      </c>
      <c r="D12" s="5"/>
      <c r="E12" s="5"/>
      <c r="F12" s="5"/>
    </row>
    <row r="13" spans="1:10" x14ac:dyDescent="0.2">
      <c r="A13" s="7" t="s">
        <v>87</v>
      </c>
      <c r="B13" s="7" t="s">
        <v>72</v>
      </c>
      <c r="C13" s="7" t="s">
        <v>31</v>
      </c>
      <c r="D13" s="5"/>
      <c r="E13" s="5"/>
      <c r="F13" s="5"/>
    </row>
    <row r="14" spans="1:10" ht="24" x14ac:dyDescent="0.2">
      <c r="A14" s="7" t="s">
        <v>88</v>
      </c>
      <c r="B14" s="5"/>
      <c r="C14" s="7" t="s">
        <v>36</v>
      </c>
      <c r="D14" s="5"/>
      <c r="E14" s="5"/>
      <c r="F14" s="5"/>
    </row>
    <row r="15" spans="1:10" x14ac:dyDescent="0.2">
      <c r="A15" s="7" t="s">
        <v>89</v>
      </c>
      <c r="B15" s="5"/>
      <c r="C15" s="7" t="s">
        <v>73</v>
      </c>
      <c r="D15" s="5"/>
      <c r="E15" s="5"/>
      <c r="F15" s="5"/>
    </row>
    <row r="16" spans="1:10" x14ac:dyDescent="0.2">
      <c r="B16" s="5"/>
      <c r="C16" s="7" t="s">
        <v>74</v>
      </c>
      <c r="D16" s="5"/>
      <c r="E16" s="5"/>
      <c r="F16" s="5"/>
    </row>
    <row r="17" spans="2:6" x14ac:dyDescent="0.2">
      <c r="B17" s="5"/>
      <c r="C17" s="7" t="s">
        <v>75</v>
      </c>
      <c r="D17" s="5"/>
      <c r="E17" s="5"/>
      <c r="F17" s="5"/>
    </row>
    <row r="18" spans="2:6" x14ac:dyDescent="0.2">
      <c r="B18" s="5"/>
      <c r="C18" s="7" t="s">
        <v>76</v>
      </c>
      <c r="D18" s="5"/>
      <c r="E18" s="5"/>
      <c r="F18" s="5"/>
    </row>
    <row r="19" spans="2:6" x14ac:dyDescent="0.2">
      <c r="B19" s="5"/>
      <c r="C19" s="7" t="s">
        <v>77</v>
      </c>
      <c r="D19" s="5"/>
      <c r="E19" s="5"/>
      <c r="F19" s="5"/>
    </row>
    <row r="20" spans="2:6" x14ac:dyDescent="0.2">
      <c r="C20" s="7" t="s">
        <v>78</v>
      </c>
    </row>
  </sheetData>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E5812F94BE26EB4785373F7C006D3CD1" ma:contentTypeVersion="102" ma:contentTypeDescription="Create a new document" ma:contentTypeScope="" ma:versionID="eb2ecfe0ec7962a5ac46d388f95473e0">
  <xsd:schema xmlns:xsd="http://www.w3.org/2001/XMLSchema" xmlns:xs="http://www.w3.org/2001/XMLSchema" xmlns:p="http://schemas.microsoft.com/office/2006/metadata/properties" xmlns:ns1="http://schemas.microsoft.com/sharepoint/v3" xmlns:ns2="7041854e-4853-44f9-9e63-23b7acad5461" xmlns:ns3="a596a9c4-d9a4-4964-a725-57f4f705c70f" targetNamespace="http://schemas.microsoft.com/office/2006/metadata/properties" ma:root="true" ma:fieldsID="368fdf763fab8be3b7169c3fd0c13798" ns1:_="" ns2:_="" ns3:_="">
    <xsd:import namespace="http://schemas.microsoft.com/sharepoint/v3"/>
    <xsd:import namespace="7041854e-4853-44f9-9e63-23b7acad5461"/>
    <xsd:import namespace="a596a9c4-d9a4-4964-a725-57f4f705c70f"/>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element ref="ns3:lcf76f155ced4ddcb4097134ff3c332f"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nillable="true"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96a9c4-d9a4-4964-a725-57f4f705c70f" elementFormDefault="qualified">
    <xsd:import namespace="http://schemas.microsoft.com/office/2006/documentManagement/types"/>
    <xsd:import namespace="http://schemas.microsoft.com/office/infopath/2007/PartnerControls"/>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Location" ma:index="3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m279c8e365374608a4eb2bb657f838c2 xmlns="7041854e-4853-44f9-9e63-23b7acad5461">
      <Terms xmlns="http://schemas.microsoft.com/office/infopath/2007/PartnerControls"/>
    </m279c8e365374608a4eb2bb657f838c2>
    <b20f10deb29d4945907115b7b62c5b70 xmlns="7041854e-4853-44f9-9e63-23b7acad5461">
      <Terms xmlns="http://schemas.microsoft.com/office/infopath/2007/PartnerControls"/>
    </b20f10deb29d4945907115b7b62c5b70>
    <j7c77f2a1a924badb0d621542422dc19 xmlns="7041854e-4853-44f9-9e63-23b7acad5461">
      <Terms xmlns="http://schemas.microsoft.com/office/infopath/2007/PartnerControls"/>
    </j7c77f2a1a924badb0d621542422dc19>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oe9d4f963f4c420b8d2b35d038476850>
    <Follow-up xmlns="7041854e-4853-44f9-9e63-23b7acad5461">false</Follow-up>
    <b128efbe498d4e38a73555a2e7be12ea xmlns="7041854e-4853-44f9-9e63-23b7acad5461">
      <Terms xmlns="http://schemas.microsoft.com/office/infopath/2007/PartnerControls"/>
    </b128efbe498d4e38a73555a2e7be12ea>
    <RelatedItems xmlns="http://schemas.microsoft.com/sharepoint/v3" xsi:nil="true"/>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lcf76f155ced4ddcb4097134ff3c332f xmlns="a596a9c4-d9a4-4964-a725-57f4f705c70f">
      <Terms xmlns="http://schemas.microsoft.com/office/infopath/2007/PartnerControls"/>
    </lcf76f155ced4ddcb4097134ff3c332f>
    <TaxCatchAll xmlns="7041854e-4853-44f9-9e63-23b7acad5461">
      <Value>21</Value>
    </TaxCatchAll>
    <f8aa492165544285b4c7fe9d1b6ad82c xmlns="7041854e-4853-44f9-9e63-23b7acad5461">
      <Terms xmlns="http://schemas.microsoft.com/office/infopath/2007/PartnerControls"/>
    </f8aa492165544285b4c7fe9d1b6ad82c>
  </documentManagement>
</p:properties>
</file>

<file path=customXml/itemProps1.xml><?xml version="1.0" encoding="utf-8"?>
<ds:datastoreItem xmlns:ds="http://schemas.openxmlformats.org/officeDocument/2006/customXml" ds:itemID="{3756CEEA-1332-4CD2-A630-28F1D4574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a596a9c4-d9a4-4964-a725-57f4f705c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097337-D3E6-4A4A-83A5-382A16C739D0}">
  <ds:schemaRefs>
    <ds:schemaRef ds:uri="Microsoft.SharePoint.Taxonomy.ContentTypeSync"/>
  </ds:schemaRefs>
</ds:datastoreItem>
</file>

<file path=customXml/itemProps3.xml><?xml version="1.0" encoding="utf-8"?>
<ds:datastoreItem xmlns:ds="http://schemas.openxmlformats.org/officeDocument/2006/customXml" ds:itemID="{21A015CC-7461-4B97-BE3A-2E705E121BB3}">
  <ds:schemaRefs>
    <ds:schemaRef ds:uri="http://schemas.microsoft.com/sharepoint/v3/contenttype/forms"/>
  </ds:schemaRefs>
</ds:datastoreItem>
</file>

<file path=customXml/itemProps4.xml><?xml version="1.0" encoding="utf-8"?>
<ds:datastoreItem xmlns:ds="http://schemas.openxmlformats.org/officeDocument/2006/customXml" ds:itemID="{29FE5F2B-6497-4FD6-B7C0-8A5516B76C34}">
  <ds:schemaRefs>
    <ds:schemaRef ds:uri="7041854e-4853-44f9-9e63-23b7acad5461"/>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a596a9c4-d9a4-4964-a725-57f4f705c70f"/>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Cover</vt:lpstr>
      <vt:lpstr>Example</vt:lpstr>
      <vt:lpstr>Variables</vt:lpstr>
      <vt:lpstr>Age</vt:lpstr>
      <vt:lpstr>Corrosivity</vt:lpstr>
      <vt:lpstr>Fracture_potential</vt:lpstr>
      <vt:lpstr>Material</vt:lpstr>
      <vt:lpstr>Pipe_size</vt:lpstr>
      <vt:lpstr>S_Age</vt:lpstr>
      <vt:lpstr>S_Pipe_size</vt:lpstr>
    </vt:vector>
  </TitlesOfParts>
  <Manager/>
  <Company>Ofwat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Boichot</dc:creator>
  <cp:keywords/>
  <dc:description/>
  <cp:lastModifiedBy>Jamie Jones</cp:lastModifiedBy>
  <cp:revision/>
  <dcterms:created xsi:type="dcterms:W3CDTF">2023-04-14T07:28:14Z</dcterms:created>
  <dcterms:modified xsi:type="dcterms:W3CDTF">2023-09-19T10:32:14Z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keholder_x0020_3">
    <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0x010100573134B1BDBFC74F8C2DBF70E4CDEAD400E5812F94BE26EB4785373F7C006D3CD1</vt:lpwstr>
  </property>
  <property fmtid="{D5CDD505-2E9C-101B-9397-08002B2CF9AE}" pid="7" name="Stakeholder_x0020_4">
    <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Stakeholder_x0020_2">
    <vt:lpwstr/>
  </property>
  <property fmtid="{D5CDD505-2E9C-101B-9397-08002B2CF9AE}" pid="12" name="Project Code">
    <vt:lpwstr/>
  </property>
  <property fmtid="{D5CDD505-2E9C-101B-9397-08002B2CF9AE}" pid="13" name="Stakeholder 3">
    <vt:lpwstr/>
  </property>
  <property fmtid="{D5CDD505-2E9C-101B-9397-08002B2CF9AE}" pid="14" name="Stakeholder_x0020_5">
    <vt:lpwstr/>
  </property>
  <property fmtid="{D5CDD505-2E9C-101B-9397-08002B2CF9AE}" pid="15" name="Stakeholder">
    <vt:lpwstr/>
  </property>
  <property fmtid="{D5CDD505-2E9C-101B-9397-08002B2CF9AE}" pid="16" name="Security Classification">
    <vt:lpwstr>21;#OFFICIAL|c2540f30-f875-494b-a43f-ebfb5017a6ad</vt:lpwstr>
  </property>
  <property fmtid="{D5CDD505-2E9C-101B-9397-08002B2CF9AE}" pid="17" name="Stakeholder 4">
    <vt:lpwstr/>
  </property>
  <property fmtid="{D5CDD505-2E9C-101B-9397-08002B2CF9AE}" pid="18" name="Project_x0020_Code">
    <vt:lpwstr/>
  </property>
</Properties>
</file>