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avdc01\userdata$\sm\Documents\"/>
    </mc:Choice>
  </mc:AlternateContent>
  <bookViews>
    <workbookView xWindow="0" yWindow="0" windowWidth="28800" windowHeight="11835"/>
  </bookViews>
  <sheets>
    <sheet name="WS12" sheetId="1" r:id="rId1"/>
    <sheet name="WS12b" sheetId="3" r:id="rId2"/>
    <sheet name="Sheet1" sheetId="2" r:id="rId3"/>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Sheet1!$A$1:$T$43</definedName>
    <definedName name="_xlnm.Print_Area" localSheetId="0">'WS12'!$B$1:$M$63,'WS12'!$O$1:$V$28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localSheetId="2" hidden="1">5</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wpapers." localSheetId="2" hidden="1">{"bal",#N/A,FALSE,"working papers";"income",#N/A,FALSE,"working papers"}</definedName>
    <definedName name="wrn.wpapers." hidden="1">{"bal",#N/A,FALSE,"working papers";"income",#N/A,FALSE,"working papers"}</definedName>
    <definedName name="Z_69104686_4F2A_41D5_9B15_E00B9826BCA2_.wvu.PrintArea" localSheetId="0" hidden="1">'WS12'!$B$1:$M$63</definedName>
    <definedName name="Z_A8453347_62D5_433C_AC17_73E6B4F2766F_.wvu.PrintArea" localSheetId="0" hidden="1">'WS12'!$B$1:$M$63</definedName>
  </definedNames>
  <calcPr calcId="152511" iterate="1" iterateCount="2000" iterateDelta="9.9999999999999995E-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3" l="1"/>
  <c r="J27" i="3"/>
  <c r="I25" i="3"/>
  <c r="H25" i="3"/>
  <c r="H24" i="3"/>
  <c r="I24" i="3"/>
  <c r="H27" i="3"/>
  <c r="J26" i="3"/>
  <c r="I26" i="3"/>
  <c r="H26" i="3"/>
  <c r="H32" i="3" s="1"/>
  <c r="H30" i="3"/>
  <c r="H21" i="3"/>
  <c r="I16" i="3"/>
  <c r="H16" i="3"/>
  <c r="J15" i="3"/>
  <c r="J14" i="3"/>
  <c r="J11" i="3"/>
  <c r="J10" i="3"/>
  <c r="J9" i="3"/>
  <c r="J8" i="3"/>
  <c r="J7" i="3"/>
  <c r="J6" i="3"/>
  <c r="J16" i="3" l="1"/>
  <c r="H31" i="3"/>
  <c r="I32" i="3"/>
  <c r="I31" i="3"/>
  <c r="I33" i="3"/>
  <c r="J24" i="3"/>
  <c r="J32" i="3"/>
  <c r="J25" i="3"/>
  <c r="I30" i="3"/>
  <c r="J30" i="3" s="1"/>
  <c r="H33" i="3"/>
  <c r="J31" i="3" l="1"/>
  <c r="J33" i="3"/>
  <c r="T32" i="2" l="1"/>
  <c r="J23" i="1"/>
  <c r="I16" i="1"/>
  <c r="I23" i="1" s="1"/>
  <c r="I17" i="1"/>
  <c r="H23" i="1"/>
  <c r="H13" i="1"/>
  <c r="H19" i="2"/>
  <c r="G19" i="2"/>
  <c r="D19" i="2"/>
  <c r="C19" i="2"/>
  <c r="M27" i="2" l="1"/>
  <c r="I42" i="2"/>
  <c r="I40" i="2"/>
  <c r="F40" i="2"/>
  <c r="E40" i="2"/>
  <c r="P26" i="2" l="1"/>
  <c r="P27" i="2"/>
  <c r="P25" i="2"/>
  <c r="P24" i="2"/>
  <c r="P17" i="2"/>
  <c r="P16" i="2"/>
  <c r="N26" i="2"/>
  <c r="M26" i="2"/>
  <c r="L26" i="2"/>
  <c r="K26" i="2"/>
  <c r="M28" i="2"/>
  <c r="M30" i="2" s="1"/>
  <c r="N23" i="2"/>
  <c r="M23" i="2"/>
  <c r="J23" i="2"/>
  <c r="I23" i="2"/>
  <c r="I28" i="2" s="1"/>
  <c r="N19" i="2"/>
  <c r="M21" i="2"/>
  <c r="J25" i="2"/>
  <c r="J27" i="2"/>
  <c r="J26" i="2"/>
  <c r="J24" i="2"/>
  <c r="I15" i="2"/>
  <c r="F27" i="2"/>
  <c r="F26" i="2"/>
  <c r="F25" i="2"/>
  <c r="F24" i="2"/>
  <c r="J19" i="2"/>
  <c r="J18" i="2"/>
  <c r="J17" i="2"/>
  <c r="J16" i="2"/>
  <c r="I21" i="2"/>
  <c r="E28" i="2"/>
  <c r="F23" i="2"/>
  <c r="E21" i="2"/>
  <c r="F19" i="2"/>
  <c r="F18" i="2"/>
  <c r="F17" i="2"/>
  <c r="F16" i="2"/>
  <c r="F15" i="2"/>
  <c r="P19" i="2" l="1"/>
  <c r="F21" i="2"/>
  <c r="J15" i="2" s="1"/>
  <c r="J40" i="2" s="1"/>
  <c r="J42" i="2" s="1"/>
  <c r="I30" i="2"/>
  <c r="F28" i="2"/>
  <c r="E30" i="2"/>
  <c r="M15" i="2"/>
  <c r="M18" i="2" s="1"/>
  <c r="J21" i="2"/>
  <c r="N15" i="2" s="1"/>
  <c r="F30" i="2"/>
  <c r="N18" i="2" l="1"/>
  <c r="P18" i="2" s="1"/>
  <c r="N27" i="2"/>
  <c r="N28" i="2" s="1"/>
  <c r="T19" i="2"/>
  <c r="S19" i="2"/>
  <c r="R19" i="2"/>
  <c r="Q19" i="2"/>
  <c r="N21" i="2" l="1"/>
  <c r="R15" i="2" s="1"/>
  <c r="R27" i="2" s="1"/>
  <c r="R23" i="2"/>
  <c r="I20" i="1"/>
  <c r="H20" i="1"/>
  <c r="I18" i="1"/>
  <c r="H18" i="1"/>
  <c r="H16" i="1"/>
  <c r="H11" i="1"/>
  <c r="H8" i="1"/>
  <c r="H7" i="1"/>
  <c r="N30" i="2" l="1"/>
  <c r="D40" i="2"/>
  <c r="C40" i="2"/>
  <c r="O36" i="2"/>
  <c r="H10" i="1" s="1"/>
  <c r="D28" i="2"/>
  <c r="C28" i="2"/>
  <c r="P37" i="2"/>
  <c r="I11" i="1" s="1"/>
  <c r="J11" i="1" s="1"/>
  <c r="O27" i="2"/>
  <c r="O37" i="2" s="1"/>
  <c r="G25" i="2"/>
  <c r="O25" i="2" s="1"/>
  <c r="O24" i="2"/>
  <c r="H23" i="2"/>
  <c r="G23" i="2"/>
  <c r="G28" i="2" s="1"/>
  <c r="K23" i="2" s="1"/>
  <c r="D21" i="2"/>
  <c r="C21" i="2"/>
  <c r="C30" i="2" s="1"/>
  <c r="O19" i="2"/>
  <c r="P36" i="2"/>
  <c r="I10" i="1" s="1"/>
  <c r="H17" i="2"/>
  <c r="G17" i="2"/>
  <c r="O17" i="2" s="1"/>
  <c r="O34" i="2" s="1"/>
  <c r="O16" i="2"/>
  <c r="O33" i="2" s="1"/>
  <c r="H15" i="2"/>
  <c r="H40" i="2" s="1"/>
  <c r="G15" i="2"/>
  <c r="G40" i="2" s="1"/>
  <c r="G42" i="2" s="1"/>
  <c r="B9" i="2"/>
  <c r="B10" i="2" s="1"/>
  <c r="B8" i="2"/>
  <c r="C8" i="2" s="1"/>
  <c r="C7" i="2"/>
  <c r="C60" i="1"/>
  <c r="C50" i="1"/>
  <c r="C41" i="1"/>
  <c r="J22" i="1"/>
  <c r="J20" i="1"/>
  <c r="J18" i="1"/>
  <c r="J16" i="1"/>
  <c r="J12" i="1"/>
  <c r="I6" i="1"/>
  <c r="V1" i="1"/>
  <c r="J10" i="1" l="1"/>
  <c r="H28" i="2"/>
  <c r="L23" i="2" s="1"/>
  <c r="J28" i="2"/>
  <c r="J30" i="2" s="1"/>
  <c r="P33" i="2"/>
  <c r="I7" i="1" s="1"/>
  <c r="J7" i="1" s="1"/>
  <c r="P34" i="2"/>
  <c r="I8" i="1" s="1"/>
  <c r="J8" i="1" s="1"/>
  <c r="D30" i="2"/>
  <c r="H42" i="2"/>
  <c r="O26" i="2"/>
  <c r="G21" i="2"/>
  <c r="H21" i="2"/>
  <c r="G30" i="2" l="1"/>
  <c r="J31" i="2" s="1"/>
  <c r="J33" i="2" s="1"/>
  <c r="K15" i="2"/>
  <c r="H30" i="2"/>
  <c r="L15" i="2"/>
  <c r="K18" i="2" l="1"/>
  <c r="K27" i="2"/>
  <c r="L18" i="2"/>
  <c r="L27" i="2"/>
  <c r="H31" i="2"/>
  <c r="H33" i="2" s="1"/>
  <c r="O18" i="2" l="1"/>
  <c r="O35" i="2" s="1"/>
  <c r="H9" i="1" s="1"/>
  <c r="L21" i="2"/>
  <c r="K21" i="2"/>
  <c r="Q15" i="2" l="1"/>
  <c r="R21" i="2"/>
  <c r="P35" i="2"/>
  <c r="I9" i="1" s="1"/>
  <c r="L28" i="2"/>
  <c r="Q21" i="2" l="1"/>
  <c r="Q27" i="2"/>
  <c r="K28" i="2"/>
  <c r="Q23" i="2" s="1"/>
  <c r="H17" i="1"/>
  <c r="J17" i="1" s="1"/>
  <c r="I13" i="1"/>
  <c r="J9" i="1"/>
  <c r="T15" i="2"/>
  <c r="L30" i="2"/>
  <c r="S15" i="2"/>
  <c r="S21" i="2" l="1"/>
  <c r="S27" i="2"/>
  <c r="H21" i="1" s="1"/>
  <c r="T21" i="2"/>
  <c r="T27" i="2"/>
  <c r="I21" i="1" s="1"/>
  <c r="K30" i="2"/>
  <c r="Q28" i="2"/>
  <c r="Q30" i="2" s="1"/>
  <c r="H19" i="1"/>
  <c r="R28" i="2"/>
  <c r="T23" i="2" s="1"/>
  <c r="I19" i="1"/>
  <c r="J13" i="1"/>
  <c r="S23" i="2" l="1"/>
  <c r="S28" i="2" s="1"/>
  <c r="S30" i="2" s="1"/>
  <c r="J21" i="1"/>
  <c r="R30" i="2"/>
  <c r="J19" i="1"/>
  <c r="T28" i="2"/>
  <c r="T30" i="2" s="1"/>
  <c r="H24" i="1" l="1"/>
  <c r="H27" i="1" s="1"/>
  <c r="I24" i="1" l="1"/>
  <c r="J24" i="1" s="1"/>
  <c r="I27" i="1" l="1"/>
  <c r="J27" i="1" s="1"/>
  <c r="H28" i="1" s="1"/>
  <c r="I28" i="1" l="1"/>
  <c r="J28" i="1" s="1"/>
</calcChain>
</file>

<file path=xl/comments1.xml><?xml version="1.0" encoding="utf-8"?>
<comments xmlns="http://schemas.openxmlformats.org/spreadsheetml/2006/main">
  <authors>
    <author>Caroline Jemphrey</author>
  </authors>
  <commentList>
    <comment ref="J32" authorId="0" shapeId="0">
      <text>
        <r>
          <rPr>
            <b/>
            <sz val="9"/>
            <color indexed="81"/>
            <rFont val="Tahoma"/>
            <family val="2"/>
          </rPr>
          <t>Caroline Jemphrey:</t>
        </r>
        <r>
          <rPr>
            <sz val="9"/>
            <color indexed="81"/>
            <rFont val="Tahoma"/>
            <family val="2"/>
          </rPr>
          <t xml:space="preserve">
APR excluding Retail £0.416m</t>
        </r>
      </text>
    </comment>
  </commentList>
</comments>
</file>

<file path=xl/sharedStrings.xml><?xml version="1.0" encoding="utf-8"?>
<sst xmlns="http://schemas.openxmlformats.org/spreadsheetml/2006/main" count="448" uniqueCount="241">
  <si>
    <t>WS12 - RCV allocation in the wholesale water service</t>
  </si>
  <si>
    <t>Company name</t>
  </si>
  <si>
    <t>Data validation</t>
  </si>
  <si>
    <t>Item references</t>
  </si>
  <si>
    <t>Line description</t>
  </si>
  <si>
    <t>Item reference</t>
  </si>
  <si>
    <t>Units</t>
  </si>
  <si>
    <t>DPs</t>
  </si>
  <si>
    <t>Price base</t>
  </si>
  <si>
    <t>Water resources</t>
  </si>
  <si>
    <t>Water network plus</t>
  </si>
  <si>
    <t>Total wholesale Water</t>
  </si>
  <si>
    <t>Calculation, copy or download rule</t>
  </si>
  <si>
    <t>Validation description</t>
  </si>
  <si>
    <t>A</t>
  </si>
  <si>
    <t>Water resources net MEAV</t>
  </si>
  <si>
    <t>Net MEAV per regulatory accounts as at 31 March 2015</t>
  </si>
  <si>
    <t>See item</t>
  </si>
  <si>
    <t>£m</t>
  </si>
  <si>
    <t>2014-15 FYE</t>
  </si>
  <si>
    <t>31 March 2015 prices as reported</t>
  </si>
  <si>
    <t>WS12001WR</t>
  </si>
  <si>
    <t>WS12001WNP</t>
  </si>
  <si>
    <t>WS12001WTOT</t>
  </si>
  <si>
    <t>Disposals</t>
  </si>
  <si>
    <t>references</t>
  </si>
  <si>
    <t>2017-18 FYE (RPI)</t>
  </si>
  <si>
    <t>WS12002WR</t>
  </si>
  <si>
    <t>WS12002WNP</t>
  </si>
  <si>
    <t>WS12002WTOT</t>
  </si>
  <si>
    <t>Reclassification</t>
  </si>
  <si>
    <t>in columns</t>
  </si>
  <si>
    <t>WS12003WR</t>
  </si>
  <si>
    <t>WS12003WNP</t>
  </si>
  <si>
    <t>WS12003WTOT</t>
  </si>
  <si>
    <t>Inflation</t>
  </si>
  <si>
    <t>T to V.</t>
  </si>
  <si>
    <t>WS12004WR</t>
  </si>
  <si>
    <t>WS12004WNP</t>
  </si>
  <si>
    <t>WS12004WTOT</t>
  </si>
  <si>
    <t>Additions</t>
  </si>
  <si>
    <t>WS12005WR</t>
  </si>
  <si>
    <t>WS12005WNP</t>
  </si>
  <si>
    <t>WS12005WTOT</t>
  </si>
  <si>
    <t>Depreciation</t>
  </si>
  <si>
    <t>WS12006WR</t>
  </si>
  <si>
    <t>WS12006WNP</t>
  </si>
  <si>
    <t>WS12006WTOT</t>
  </si>
  <si>
    <t>Other adjustments</t>
  </si>
  <si>
    <t>WS12007WR</t>
  </si>
  <si>
    <t>WS12007WNP</t>
  </si>
  <si>
    <t>WS12007WTOT</t>
  </si>
  <si>
    <t>Net MEAV as at 31 March 2017</t>
  </si>
  <si>
    <t>WS12008WR</t>
  </si>
  <si>
    <t>WS12008WNP</t>
  </si>
  <si>
    <t>WS12008WTOT</t>
  </si>
  <si>
    <t>B</t>
  </si>
  <si>
    <t>Roll forward</t>
  </si>
  <si>
    <t>Additions 2017-18</t>
  </si>
  <si>
    <t>WS12009WR</t>
  </si>
  <si>
    <t>WS12009WNP</t>
  </si>
  <si>
    <t>WS12009WTOT</t>
  </si>
  <si>
    <t>Depreciation 2017-18</t>
  </si>
  <si>
    <t>WS12010WR</t>
  </si>
  <si>
    <t>WS12010WNP</t>
  </si>
  <si>
    <t>WS12010WTOT</t>
  </si>
  <si>
    <t>Additions 2018-19</t>
  </si>
  <si>
    <t>WS12011WR</t>
  </si>
  <si>
    <t>WS12011WNP</t>
  </si>
  <si>
    <t>WS12011WTOT</t>
  </si>
  <si>
    <t>Depreciation 2018-19</t>
  </si>
  <si>
    <t>WS12012WR</t>
  </si>
  <si>
    <t>WS12012WNP</t>
  </si>
  <si>
    <t>WS12012WTOT</t>
  </si>
  <si>
    <t>Additions 2019-20</t>
  </si>
  <si>
    <t>WS12013WR</t>
  </si>
  <si>
    <t>WS12013WNP</t>
  </si>
  <si>
    <t>WS12013WTOT</t>
  </si>
  <si>
    <t>Depreciation 2019-20</t>
  </si>
  <si>
    <t>WS12014WR</t>
  </si>
  <si>
    <t>WS12014WNP</t>
  </si>
  <si>
    <t>WS12014WTOT</t>
  </si>
  <si>
    <t>Other forecast adjustments 2017-2020</t>
  </si>
  <si>
    <t>WS12015WR</t>
  </si>
  <si>
    <t>WS12015WNP</t>
  </si>
  <si>
    <t>WS12015WTOT</t>
  </si>
  <si>
    <t>Net MEAV as at 31 March 2020</t>
  </si>
  <si>
    <t>WS12016WR</t>
  </si>
  <si>
    <t>WS12016WNP</t>
  </si>
  <si>
    <t>WS12016WTOT</t>
  </si>
  <si>
    <t>Net MEAV as at 31 March 2020 (% of total water wholesale)</t>
  </si>
  <si>
    <t>%</t>
  </si>
  <si>
    <t>-</t>
  </si>
  <si>
    <t>WS12017WR</t>
  </si>
  <si>
    <t>WS12017WNP</t>
  </si>
  <si>
    <t>WS12017WTOT</t>
  </si>
  <si>
    <t>C</t>
  </si>
  <si>
    <t>RCV as at 31 March 2020</t>
  </si>
  <si>
    <t>Proposed RCV allocation 31 March 2020 (pre-midnight adjustments)</t>
  </si>
  <si>
    <t>WS12018WR</t>
  </si>
  <si>
    <t>WS12018WNP</t>
  </si>
  <si>
    <t>WS12018WTOT</t>
  </si>
  <si>
    <t>RCV ~ 31 March 2020 ( % of total wholesale water)</t>
  </si>
  <si>
    <t>WS12019WR</t>
  </si>
  <si>
    <t>WS12019WNP</t>
  </si>
  <si>
    <t>WS12019WTOT</t>
  </si>
  <si>
    <t>KEY</t>
  </si>
  <si>
    <t>Input</t>
  </si>
  <si>
    <t>Copy</t>
  </si>
  <si>
    <t>Calculation</t>
  </si>
  <si>
    <t>Pre populated</t>
  </si>
  <si>
    <t>WS12 guidance and line definitions</t>
  </si>
  <si>
    <t xml:space="preserve">Companies to use this table to set out the roll forward of the net MEAV and its proposal of the wholesale water RCV allocation.  All prices as at 31 March 2018; ie March 2018 RPI, except Block A line 1 which is to be in 31 March 2015 prices. Line 4 should be used to ensure line 8 is in March 2018 prices. </t>
  </si>
  <si>
    <t>Line</t>
  </si>
  <si>
    <t>Definition</t>
  </si>
  <si>
    <t>Block A</t>
  </si>
  <si>
    <t>Net MEAV for water resources and other water assets, as published in company 2014-15 regulatory accounts for 31 March 2015. 
water resources = BM4048WR + BM4050WR
Wholesale Water = BM4048WTOT + BM4050WTOT</t>
  </si>
  <si>
    <t>Impact on net MEAV of disposal of assets between 1 April 2015 and 31 March 2018</t>
  </si>
  <si>
    <t>Impact on net MEAV of reclassification of assets between 1 April 2015 and 31 March 2018. This line should include any changes resulting from reclassification to or from water resources, with this explained in the narrative.</t>
  </si>
  <si>
    <t>Impact on net MEAV of Inflation. This line will be the difference between 1 April 2015 and 31 March 2018 prices for line 1.</t>
  </si>
  <si>
    <t>Impact on net MEAV of additions between 1 April 2015 and 31 March 2017</t>
  </si>
  <si>
    <t>Impact on net MEAV of depreciation between 1 April 2015 and 31 March 2017</t>
  </si>
  <si>
    <t>Other impacts on net MEAV between 1 April 2015 and 31 March 2017</t>
  </si>
  <si>
    <r>
      <t xml:space="preserve">Net MEAV for water resources and other water assets at 31 March 2017. Total of </t>
    </r>
    <r>
      <rPr>
        <sz val="10"/>
        <color rgb="FF0078C9"/>
        <rFont val="Arial"/>
        <family val="2"/>
      </rPr>
      <t>WS12 lines 1 to 7</t>
    </r>
  </si>
  <si>
    <t>Block B</t>
  </si>
  <si>
    <t>Impact of forecast additions in 2017-18 on net MEAV at 31 March 2018</t>
  </si>
  <si>
    <t>Impact of forecast current cost depreciation, capital charges and disposals in 2017-18 on net MEAV at 31 March 2018</t>
  </si>
  <si>
    <t>Impact of forecast additions in 2018-19 on net MEAV at 31 March 2019</t>
  </si>
  <si>
    <t>Impact of forecast current cost depreciation, capital charges and disposals in 2018-19 on net MEAV at 31 March 2019</t>
  </si>
  <si>
    <t>Impact of forecast additions in 2019-20 on net MEAV at 31 March 2020</t>
  </si>
  <si>
    <t>Impact of forecast current cost depreciation, capital charges and disposals in 2019-20 on net MEAV at 31 March 2020</t>
  </si>
  <si>
    <t>Other forecast adjustments between net MEAV in March 2017 and net MEAV in March 2020</t>
  </si>
  <si>
    <r>
      <t xml:space="preserve">Net MEAV for water resources and other water assets at 31 March 2020. Sum of </t>
    </r>
    <r>
      <rPr>
        <sz val="10"/>
        <color rgb="FF0078C9"/>
        <rFont val="Arial"/>
        <family val="2"/>
      </rPr>
      <t>WS12 lines 8 to 15</t>
    </r>
  </si>
  <si>
    <t>Net MEAV for water resources and other water assets at 31 March 2020 as a percentage of the overall net MEAV for wholesale water. Calculation.</t>
  </si>
  <si>
    <t>Block C</t>
  </si>
  <si>
    <t>Company proposal of RCV allocation at 31 March 2020. Companies should explain in their narrative the basis for this line. Depending on the approach the company takes, it may relate to the net MEAV allocation shown in lines 1 to 17, but this will not necessarily be the case.</t>
  </si>
  <si>
    <t>Company proposal of RCV allocation for water resources and other water assets at 31 March 2020 as a percentage of the overall net MEAV for wholesale Water. Calculation</t>
  </si>
  <si>
    <t>Analysis of Wholesale Fixed Asset Movements</t>
  </si>
  <si>
    <t>RPI ADJUSTMENTS (Year end)</t>
  </si>
  <si>
    <t>2012/13</t>
  </si>
  <si>
    <t>2014/15</t>
  </si>
  <si>
    <t>2015/16</t>
  </si>
  <si>
    <t>2016/17</t>
  </si>
  <si>
    <t>2017/18</t>
  </si>
  <si>
    <t>2018/19</t>
  </si>
  <si>
    <t>2019/20</t>
  </si>
  <si>
    <t>As per 2016 APR (audited)</t>
  </si>
  <si>
    <t>As per 2017 APR (audited)</t>
  </si>
  <si>
    <t>Numbers for lines 2-7</t>
  </si>
  <si>
    <t>WR</t>
  </si>
  <si>
    <t>Network+</t>
  </si>
  <si>
    <t>Total</t>
  </si>
  <si>
    <t>01/04/2015</t>
  </si>
  <si>
    <t>Opening Gross Cost</t>
  </si>
  <si>
    <t>Closing Gross Cost</t>
  </si>
  <si>
    <t>Opening Depreciation</t>
  </si>
  <si>
    <t>Net Book Value</t>
  </si>
  <si>
    <t>Asset Life</t>
  </si>
  <si>
    <t>2017/18 Prices</t>
  </si>
  <si>
    <t>APR 2016/17</t>
  </si>
  <si>
    <t>£142.5m published closing RCV 2019/20 March 2017 prices</t>
  </si>
  <si>
    <t>Retail</t>
  </si>
  <si>
    <t>Other</t>
  </si>
  <si>
    <t>Average Asset Life</t>
  </si>
  <si>
    <t>Additions for each year in outturn prices</t>
  </si>
  <si>
    <t>Disposals for each year in outturn prices</t>
  </si>
  <si>
    <t>Inflation for 3 years, up to 2017/18 prices</t>
  </si>
  <si>
    <t>Depreciaiton for each year in outturn prices</t>
  </si>
  <si>
    <t>Agrees to 2017 APR, excluding Retail (1195.4) + additional 2017/18 inflation (41.839)</t>
  </si>
  <si>
    <t>Pipeline and pumping stations previously in Raw Water Distribution - agreed by Ofwat (Havant and Bedhamption to Farlington Treatment Plant)</t>
  </si>
  <si>
    <t>WS12b - Wholesale water charges impact assessment</t>
  </si>
  <si>
    <t>Total wholesale water</t>
  </si>
  <si>
    <t>Average cost information</t>
  </si>
  <si>
    <t>Wholesale revenue in 2016-17</t>
  </si>
  <si>
    <t>2016-17 FYA (RPI adjusted)</t>
  </si>
  <si>
    <t>Wholesale revenue billed at discounted rate (excluding bulk supplies)</t>
  </si>
  <si>
    <t>Wholesale revenue in 2016-17 ~ bulk supplies</t>
  </si>
  <si>
    <t>Volume 2016-17</t>
  </si>
  <si>
    <t>Ml</t>
  </si>
  <si>
    <t>Volume 2016-17 billed at discounted rate (excluding bulk supplies)</t>
  </si>
  <si>
    <t>Volume billed 2016-17 ~ bulk supplies</t>
  </si>
  <si>
    <t>Indicative impact on average cost of proposed RCV allocation</t>
  </si>
  <si>
    <t>Impact from cost of capital for 2016-17 if RCV had been allocated as company now propose</t>
  </si>
  <si>
    <t>Should sum to zero</t>
  </si>
  <si>
    <t>Impact from run off for 2016-17 if RCV had been allocated as company now propose</t>
  </si>
  <si>
    <t>Indicative change in average cost from RCV allocation</t>
  </si>
  <si>
    <t>Incremental water resource information</t>
  </si>
  <si>
    <t>Incremental water resource capacity (yield)</t>
  </si>
  <si>
    <t>Ml/d</t>
  </si>
  <si>
    <t>Incremental cost of water resources 2020-25</t>
  </si>
  <si>
    <t>Incremental cost of water resources</t>
  </si>
  <si>
    <t>£/m3</t>
  </si>
  <si>
    <t>D</t>
  </si>
  <si>
    <t>Average revenues 2016-17</t>
  </si>
  <si>
    <t>Average revenue for all water sold</t>
  </si>
  <si>
    <t>Line 1 divided by line 4.</t>
  </si>
  <si>
    <t>Average revenue for water sold at a discounted rate (excluding bulk supplies)</t>
  </si>
  <si>
    <t>Line 2 divided by line 5.</t>
  </si>
  <si>
    <t>Average revenue for bulk supplies</t>
  </si>
  <si>
    <t>Line 3 divided by line 6.</t>
  </si>
  <si>
    <t>Average revenue for water not sold at a discounted rate</t>
  </si>
  <si>
    <t>Line 1 less (line 2 plus line 3) divided by line 4 less (line 5 plus line 6).</t>
  </si>
  <si>
    <t>E</t>
  </si>
  <si>
    <t>Indicative unit revenues post RCV allocation</t>
  </si>
  <si>
    <t>Average revenue for all water (as if under proposed RCV allocation)</t>
  </si>
  <si>
    <t>Line 13 plus line 9.</t>
  </si>
  <si>
    <t>Average revenue for water sold at a discounted rate (as if under proposed RCV allocation)</t>
  </si>
  <si>
    <t>Line 14 plus line 9.</t>
  </si>
  <si>
    <t>Average revenue for bulk supplies (as if under proposed RCV allocation)</t>
  </si>
  <si>
    <t>Line 15 plus line 9.</t>
  </si>
  <si>
    <t>Average revenue for water not sold at a discounted rate (as if under proposed RCV allocation)</t>
  </si>
  <si>
    <t>Line 16 plus line 9.</t>
  </si>
  <si>
    <t>WS12b (January 2018) guidance and line definitions</t>
  </si>
  <si>
    <t>Companies to provide information to help assess the potential impact on wholesale charges from its proposed RCV allocation. All entries are expected to be in 2017-18 average prices.</t>
  </si>
  <si>
    <t>Wholesale tariff income (for residential and business) from water including special agreements, non-potable water and bulk supplies. Income is split between the two business units as defined in RAG 4.06.</t>
  </si>
  <si>
    <t>Wholesale tariff income (for residential and business) included in line 1 that is supplied at a discount to the standard residential charges. Income is split between the two business units as defined in RAG 4.06.</t>
  </si>
  <si>
    <t>All income received in 2016-17 for providing a bulk supply (for potable or nonpotable supplies) to another water undertaker and from wastewater connection agreements with another wastewater undertaker.</t>
  </si>
  <si>
    <t>Volume billed in 2016-17 for which related revenue is reported in line 1.</t>
  </si>
  <si>
    <t>Volume billed in 2016-17 for which related revenue is reported in line 2.</t>
  </si>
  <si>
    <t>Volume billed in 2016-17 for which related revenue is reported in line 3.</t>
  </si>
  <si>
    <t xml:space="preserve">Change in the revenue that would have accrued in 2016-17 if the proposed RCV allocation had been in place, that can be attributed to the change in the cost of capital. The company should assume that the cost of capital for each business unit would have been the same as that applied for the wholesale business unit. (All companies can assume 3.6%). The impact is what would have occured from the change in charges under the proposed RCV allocation compared to that implied by the 2016-17 charges.  If relevant explicit assumptions about RCV that underlie its tariff structures in 2016-17 are not known, the company should arrive at an implied cost of capital and run off consistent with its tariff structures in 2016-17. The information is only required to help understand the impact on charges of the proposed RCV allocation and companies should make whatever simplifications they consider appropriate to this end. The company should set out its approach, including any assumptions, in its commentary. </t>
  </si>
  <si>
    <t>Change in the revenue that would have accrued in 2016-17 if the proposed RCV allocation had been in place, that can be attributed to the change in run off. The impact is what would have occured from the change in charges under the proposed RCV allocation compared to that implied by the 2016-17 charges. The company should assume that aggregated run off for the wholesale service is the same as that applied, but allocate this to the different business units proportionaly on its latest understanding. If relevant explicit assumptions about RCV that underlie its tariff structures in 2016-17 are not known, the company should arrive at an implied cost of capital and run off consistent with its tariff structures in 2016-17.  The information is only required to help understand the impact on charges of the proposed RCV allocation and companies should make whatever simplifications they consider appropriate to this end. The company should set out its approach in its commentary, including any assumptions. This must include its view of what RCV run off would have been appropriate in 2016-17 if the RCV had been allocated under the same method as the company now propose and compare this to the run off reported in tables Wr4 and Wn4, explaining any apparent disparencies.</t>
  </si>
  <si>
    <t>Indicative change in average cost from company proposed RCV allocation. Calculation. Change in revenue that would have accrued in lines 7 and 8 divided by volume reported in line 4.</t>
  </si>
  <si>
    <t>Increase in water resource capacity (yield) by 31 March 2025 from 31 March 2020, expected in the draft water resource management plan.</t>
  </si>
  <si>
    <t>Total expenditure in 2020 to 2025 period related to the increase in capacity set out in line 10, as set out in the draft water resource management plan.</t>
  </si>
  <si>
    <t>Incremental cost of increase in capacity. Calculation. Average annual incremental revenue in pounds million (line 11 divided by 5) divided by annual increase in capacity in million  cubic meters per annum (ie line 10 multiplied by 0.365)</t>
  </si>
  <si>
    <t>Calculation. Line 1 divided by line 4.</t>
  </si>
  <si>
    <t>Calculation. Line 2 divided by line 5.</t>
  </si>
  <si>
    <t>Calculation. Line 3 divided by line 6.</t>
  </si>
  <si>
    <t>Calculation. Line 1 less (line 2 plus line 3) divided by line 4 less (line 5 plus line 6).</t>
  </si>
  <si>
    <t>Calculation. Line 13 plus line 9.</t>
  </si>
  <si>
    <t>Calculation. Line 14 plus line 9.</t>
  </si>
  <si>
    <t>Calculation. Line 15 plus line 9.</t>
  </si>
  <si>
    <t>Calculation. Line 16 plus line 9.</t>
  </si>
  <si>
    <t>These are 2016/17 outturn</t>
  </si>
  <si>
    <t>Ditto</t>
  </si>
  <si>
    <t>The total voluime sold is 423 Ml not the sum</t>
  </si>
  <si>
    <t>The total voluime sold is 6030 Ml not the sum</t>
  </si>
  <si>
    <t>The total voluime sold is 53045 Ml not the sum</t>
  </si>
  <si>
    <t>We do not propose any changes to return allocation</t>
  </si>
  <si>
    <t>Worlds End is the only source in the period which will be commissioned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</si>
</sst>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_);\(#,##0\);&quot;-  &quot;;&quot; &quot;@&quot; &quot;"/>
    <numFmt numFmtId="165" formatCode="0.000"/>
    <numFmt numFmtId="166" formatCode="0.0"/>
    <numFmt numFmtId="167" formatCode="0.0%"/>
    <numFmt numFmtId="168" formatCode="_-* #,##0.000_-;\-* #,##0.000_-;_-* &quot;-&quot;??_-;_-@_-"/>
    <numFmt numFmtId="169" formatCode="_-* #,##0_-;\-* #,##0_-;_-* &quot;-&quot;??_-;_-@_-"/>
    <numFmt numFmtId="170" formatCode="#,##0.000;[Red]\-#,##0.000"/>
    <numFmt numFmtId="171" formatCode="#,##0.00000000000_ ;[Red]\-#,##0.00000000000\ "/>
  </numFmts>
  <fonts count="20">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5"/>
      <color theme="0"/>
      <name val="Franklin Gothic Demi"/>
      <family val="2"/>
    </font>
    <font>
      <sz val="11"/>
      <color theme="0"/>
      <name val="Franklin Gothic Demi"/>
      <family val="2"/>
    </font>
    <font>
      <sz val="10"/>
      <color rgb="FF0078C9"/>
      <name val="Franklin Gothic Demi"/>
      <family val="2"/>
    </font>
    <font>
      <sz val="9"/>
      <color theme="1"/>
      <name val="Arial"/>
      <family val="2"/>
    </font>
    <font>
      <sz val="10"/>
      <color theme="1"/>
      <name val="Arial"/>
      <family val="2"/>
    </font>
    <font>
      <sz val="8"/>
      <color theme="1"/>
      <name val="Arial"/>
      <family val="2"/>
    </font>
    <font>
      <sz val="9"/>
      <name val="Arial"/>
      <family val="2"/>
    </font>
    <font>
      <sz val="9"/>
      <color theme="0"/>
      <name val="Arial"/>
      <family val="2"/>
    </font>
    <font>
      <sz val="10"/>
      <name val="Arial"/>
      <family val="2"/>
    </font>
    <font>
      <sz val="10"/>
      <name val="Franklin Gothic Demi"/>
      <family val="2"/>
    </font>
    <font>
      <sz val="11"/>
      <color rgb="FF0078C9"/>
      <name val="Franklin Gothic Demi"/>
      <family val="2"/>
    </font>
    <font>
      <sz val="10"/>
      <color theme="1"/>
      <name val="Gill Sans MT"/>
      <family val="2"/>
    </font>
    <font>
      <sz val="10"/>
      <color rgb="FF0078C9"/>
      <name val="Arial"/>
      <family val="2"/>
    </font>
    <font>
      <b/>
      <sz val="12"/>
      <color theme="1"/>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rgb="FF003479"/>
        <bgColor indexed="64"/>
      </patternFill>
    </fill>
    <fill>
      <patternFill patternType="solid">
        <fgColor theme="0"/>
        <bgColor indexed="64"/>
      </patternFill>
    </fill>
    <fill>
      <patternFill patternType="solid">
        <fgColor rgb="FFE0DCD8"/>
        <bgColor indexed="64"/>
      </patternFill>
    </fill>
    <fill>
      <patternFill patternType="solid">
        <fgColor theme="9" tint="0.59999389629810485"/>
        <bgColor indexed="64"/>
      </patternFill>
    </fill>
    <fill>
      <patternFill patternType="solid">
        <fgColor rgb="FFBFDDF1"/>
        <bgColor indexed="64"/>
      </patternFill>
    </fill>
    <fill>
      <patternFill patternType="solid">
        <fgColor rgb="FFFCEABF"/>
        <bgColor indexed="64"/>
      </patternFill>
    </fill>
    <fill>
      <patternFill patternType="solid">
        <fgColor rgb="FFF2BFE0"/>
        <bgColor indexed="64"/>
      </patternFill>
    </fill>
    <fill>
      <patternFill patternType="solid">
        <fgColor rgb="FFFFFFCC"/>
        <bgColor indexed="64"/>
      </patternFill>
    </fill>
  </fills>
  <borders count="51">
    <border>
      <left/>
      <right/>
      <top/>
      <bottom/>
      <diagonal/>
    </border>
    <border>
      <left style="medium">
        <color rgb="FF857362"/>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thin">
        <color rgb="FF857362"/>
      </right>
      <top style="medium">
        <color rgb="FF857362"/>
      </top>
      <bottom style="thin">
        <color rgb="FF857362"/>
      </bottom>
      <diagonal/>
    </border>
    <border>
      <left style="thin">
        <color rgb="FF857362"/>
      </left>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right style="thin">
        <color rgb="FF857362"/>
      </right>
      <top style="medium">
        <color rgb="FF857362"/>
      </top>
      <bottom style="thin">
        <color rgb="FF857362"/>
      </bottom>
      <diagonal/>
    </border>
    <border>
      <left style="medium">
        <color rgb="FF857362"/>
      </left>
      <right/>
      <top style="medium">
        <color rgb="FF857362"/>
      </top>
      <bottom style="thin">
        <color rgb="FF857362"/>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style="thin">
        <color rgb="FF857362"/>
      </left>
      <right style="thin">
        <color rgb="FF857362"/>
      </right>
      <top/>
      <bottom/>
      <diagonal/>
    </border>
    <border>
      <left style="thin">
        <color rgb="FF857362"/>
      </left>
      <right/>
      <top/>
      <bottom/>
      <diagonal/>
    </border>
    <border>
      <left style="thin">
        <color rgb="FF857362"/>
      </left>
      <right style="medium">
        <color rgb="FF857362"/>
      </right>
      <top/>
      <bottom/>
      <diagonal/>
    </border>
    <border>
      <left/>
      <right style="thin">
        <color rgb="FF857362"/>
      </right>
      <top/>
      <bottom/>
      <diagonal/>
    </border>
    <border>
      <left style="medium">
        <color rgb="FF857362"/>
      </left>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thin">
        <color rgb="FF857362"/>
      </left>
      <right/>
      <top style="thin">
        <color rgb="FF857362"/>
      </top>
      <bottom style="thin">
        <color rgb="FF857362"/>
      </bottom>
      <diagonal/>
    </border>
    <border>
      <left/>
      <right style="thin">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right style="thin">
        <color rgb="FF857362"/>
      </right>
      <top style="thin">
        <color rgb="FF857362"/>
      </top>
      <bottom style="medium">
        <color rgb="FF857362"/>
      </bottom>
      <diagonal/>
    </border>
    <border>
      <left style="medium">
        <color rgb="FF857362"/>
      </left>
      <right/>
      <top style="thin">
        <color rgb="FF857362"/>
      </top>
      <bottom style="medium">
        <color rgb="FF857362"/>
      </bottom>
      <diagonal/>
    </border>
    <border>
      <left style="thin">
        <color rgb="FF857362"/>
      </left>
      <right style="medium">
        <color rgb="FF857362"/>
      </right>
      <top style="thin">
        <color rgb="FF857362"/>
      </top>
      <bottom/>
      <diagonal/>
    </border>
    <border>
      <left/>
      <right style="thin">
        <color rgb="FF857362"/>
      </right>
      <top style="thin">
        <color rgb="FF857362"/>
      </top>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style="medium">
        <color rgb="FF857362"/>
      </top>
      <bottom style="thin">
        <color rgb="FF857362"/>
      </bottom>
      <diagonal/>
    </border>
    <border>
      <left/>
      <right style="thin">
        <color rgb="FF857362"/>
      </right>
      <top style="medium">
        <color rgb="FF857362"/>
      </top>
      <bottom/>
      <diagonal/>
    </border>
    <border>
      <left style="thin">
        <color rgb="FF857362"/>
      </left>
      <right style="thin">
        <color rgb="FF857362"/>
      </right>
      <top style="medium">
        <color rgb="FF857362"/>
      </top>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right/>
      <top style="thin">
        <color rgb="FF857362"/>
      </top>
      <bottom style="thin">
        <color rgb="FF857362"/>
      </bottom>
      <diagonal/>
    </border>
    <border>
      <left/>
      <right style="medium">
        <color rgb="FF857362"/>
      </right>
      <top style="thin">
        <color rgb="FF857362"/>
      </top>
      <bottom style="thin">
        <color rgb="FF857362"/>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rgb="FF857362"/>
      </right>
      <top style="medium">
        <color rgb="FF857362"/>
      </top>
      <bottom style="thin">
        <color rgb="FF857362"/>
      </bottom>
      <diagonal/>
    </border>
    <border>
      <left style="thin">
        <color rgb="FF857362"/>
      </left>
      <right style="thin">
        <color rgb="FF857362"/>
      </right>
      <top/>
      <bottom style="thin">
        <color rgb="FF857362"/>
      </bottom>
      <diagonal/>
    </border>
    <border>
      <left/>
      <right style="medium">
        <color rgb="FF857362"/>
      </right>
      <top style="thin">
        <color rgb="FF857362"/>
      </top>
      <bottom style="medium">
        <color rgb="FF857362"/>
      </bottom>
      <diagonal/>
    </border>
    <border>
      <left/>
      <right/>
      <top style="medium">
        <color rgb="FF857362"/>
      </top>
      <bottom style="thin">
        <color rgb="FF857362"/>
      </bottom>
      <diagonal/>
    </border>
    <border>
      <left/>
      <right/>
      <top style="thin">
        <color rgb="FF857362"/>
      </top>
      <bottom/>
      <diagonal/>
    </border>
    <border>
      <left/>
      <right/>
      <top style="thin">
        <color rgb="FF857362"/>
      </top>
      <bottom style="medium">
        <color rgb="FF857362"/>
      </bottom>
      <diagonal/>
    </border>
  </borders>
  <cellStyleXfs count="10">
    <xf numFmtId="0" fontId="0" fillId="0" borderId="0"/>
    <xf numFmtId="0" fontId="3" fillId="0" borderId="0"/>
    <xf numFmtId="164" fontId="3" fillId="0" borderId="0" applyFont="0" applyFill="0" applyBorder="0" applyProtection="0">
      <alignment vertical="top"/>
    </xf>
    <xf numFmtId="0" fontId="12" fillId="0" borderId="0"/>
    <xf numFmtId="0" fontId="3" fillId="0" borderId="0"/>
    <xf numFmtId="0" fontId="12" fillId="0" borderId="0"/>
    <xf numFmtId="9"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2" fillId="0" borderId="0"/>
  </cellStyleXfs>
  <cellXfs count="248">
    <xf numFmtId="0" fontId="0" fillId="0" borderId="0" xfId="0"/>
    <xf numFmtId="0" fontId="4" fillId="2" borderId="0" xfId="1" applyFont="1" applyFill="1" applyBorder="1" applyAlignment="1">
      <alignment vertical="center"/>
    </xf>
    <xf numFmtId="0" fontId="4" fillId="2" borderId="0" xfId="1" applyFont="1" applyFill="1" applyBorder="1" applyAlignment="1">
      <alignment horizontal="right" vertical="center"/>
    </xf>
    <xf numFmtId="0" fontId="4" fillId="2" borderId="0" xfId="1" applyFont="1" applyFill="1" applyBorder="1" applyAlignment="1">
      <alignment horizontal="left" vertical="center"/>
    </xf>
    <xf numFmtId="0" fontId="5" fillId="2" borderId="0" xfId="1" applyFont="1" applyFill="1" applyBorder="1" applyAlignment="1">
      <alignment horizontal="left" vertical="center"/>
    </xf>
    <xf numFmtId="0" fontId="4" fillId="3" borderId="0" xfId="1" applyFont="1" applyFill="1" applyBorder="1" applyAlignment="1">
      <alignment vertical="center"/>
    </xf>
    <xf numFmtId="0" fontId="4" fillId="2" borderId="0" xfId="1" applyFont="1" applyFill="1" applyBorder="1" applyAlignment="1" applyProtection="1">
      <alignment horizontal="right" vertical="center"/>
    </xf>
    <xf numFmtId="164" fontId="3" fillId="3" borderId="0" xfId="2" applyFill="1" applyBorder="1">
      <alignment vertical="top"/>
    </xf>
    <xf numFmtId="0" fontId="3" fillId="3" borderId="0" xfId="1" applyFill="1" applyAlignment="1">
      <alignment vertical="center"/>
    </xf>
    <xf numFmtId="0" fontId="3" fillId="3" borderId="0" xfId="1" applyFill="1" applyBorder="1" applyAlignment="1">
      <alignment vertical="center"/>
    </xf>
    <xf numFmtId="0" fontId="6" fillId="4" borderId="3" xfId="1" applyFont="1" applyFill="1" applyBorder="1" applyAlignment="1">
      <alignment horizontal="center" vertical="center" wrapText="1"/>
    </xf>
    <xf numFmtId="0" fontId="6" fillId="4" borderId="3"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5" xfId="1" applyFont="1" applyFill="1" applyBorder="1" applyAlignment="1">
      <alignment horizontal="center" vertical="center"/>
    </xf>
    <xf numFmtId="0" fontId="6" fillId="4" borderId="2"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3" borderId="0"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5" xfId="1" applyFont="1" applyFill="1" applyBorder="1" applyAlignment="1">
      <alignment vertical="center"/>
    </xf>
    <xf numFmtId="0" fontId="7" fillId="0" borderId="7" xfId="1" applyFont="1" applyBorder="1" applyAlignment="1">
      <alignment horizontal="center" vertical="center"/>
    </xf>
    <xf numFmtId="0" fontId="8" fillId="0" borderId="8" xfId="1" applyFont="1" applyBorder="1" applyAlignment="1">
      <alignment vertical="center"/>
    </xf>
    <xf numFmtId="0" fontId="9" fillId="0" borderId="9" xfId="1" applyFont="1" applyBorder="1" applyAlignment="1" applyProtection="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15" fontId="9" fillId="0" borderId="11" xfId="1" quotePrefix="1" applyNumberFormat="1" applyFont="1" applyBorder="1" applyAlignment="1">
      <alignment horizontal="center" vertical="center"/>
    </xf>
    <xf numFmtId="165" fontId="7" fillId="5" borderId="12" xfId="1" applyNumberFormat="1" applyFont="1" applyFill="1" applyBorder="1" applyAlignment="1">
      <alignment vertical="center"/>
    </xf>
    <xf numFmtId="165" fontId="7" fillId="6" borderId="9" xfId="1" applyNumberFormat="1" applyFont="1" applyFill="1" applyBorder="1" applyAlignment="1">
      <alignment horizontal="right" vertical="center"/>
    </xf>
    <xf numFmtId="165" fontId="7" fillId="5" borderId="11" xfId="1" applyNumberFormat="1" applyFont="1" applyFill="1" applyBorder="1" applyAlignment="1">
      <alignment vertical="center"/>
    </xf>
    <xf numFmtId="165" fontId="10" fillId="3" borderId="13" xfId="1" applyNumberFormat="1" applyFont="1" applyFill="1" applyBorder="1" applyAlignment="1">
      <alignment horizontal="left" vertical="center"/>
    </xf>
    <xf numFmtId="165" fontId="10" fillId="3" borderId="11" xfId="1" applyNumberFormat="1" applyFont="1" applyFill="1" applyBorder="1" applyAlignment="1">
      <alignment horizontal="left" vertical="center"/>
    </xf>
    <xf numFmtId="165" fontId="7" fillId="3" borderId="0" xfId="1" applyNumberFormat="1" applyFont="1" applyFill="1" applyBorder="1" applyAlignment="1">
      <alignment vertical="center"/>
    </xf>
    <xf numFmtId="165" fontId="7" fillId="3" borderId="12" xfId="1" applyNumberFormat="1" applyFont="1" applyFill="1" applyBorder="1" applyAlignment="1">
      <alignment horizontal="center" vertical="center"/>
    </xf>
    <xf numFmtId="165" fontId="7" fillId="3" borderId="9" xfId="1" applyNumberFormat="1" applyFont="1" applyFill="1" applyBorder="1" applyAlignment="1">
      <alignment horizontal="center" vertical="center"/>
    </xf>
    <xf numFmtId="165" fontId="7" fillId="3" borderId="11" xfId="1" applyNumberFormat="1" applyFont="1" applyFill="1" applyBorder="1" applyAlignment="1">
      <alignment horizontal="center" vertical="center"/>
    </xf>
    <xf numFmtId="0" fontId="7" fillId="0" borderId="14" xfId="1" applyFont="1" applyBorder="1" applyAlignment="1">
      <alignment horizontal="center" vertical="center"/>
    </xf>
    <xf numFmtId="0" fontId="8" fillId="0" borderId="15" xfId="1" applyFont="1" applyBorder="1" applyAlignment="1">
      <alignment vertical="center"/>
    </xf>
    <xf numFmtId="0" fontId="9" fillId="0" borderId="8" xfId="1" applyFont="1" applyBorder="1" applyAlignment="1" applyProtection="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quotePrefix="1" applyFont="1" applyBorder="1" applyAlignment="1">
      <alignment horizontal="center" vertical="center"/>
    </xf>
    <xf numFmtId="165" fontId="7" fillId="7" borderId="19" xfId="1" applyNumberFormat="1" applyFont="1" applyFill="1" applyBorder="1" applyAlignment="1">
      <alignment vertical="center"/>
    </xf>
    <xf numFmtId="165" fontId="7" fillId="7" borderId="16" xfId="1" applyNumberFormat="1" applyFont="1" applyFill="1" applyBorder="1" applyAlignment="1">
      <alignment vertical="center"/>
    </xf>
    <xf numFmtId="165" fontId="7" fillId="6" borderId="18" xfId="1" applyNumberFormat="1" applyFont="1" applyFill="1" applyBorder="1" applyAlignment="1">
      <alignment vertical="center"/>
    </xf>
    <xf numFmtId="165" fontId="11" fillId="3" borderId="20" xfId="1" applyNumberFormat="1" applyFont="1" applyFill="1" applyBorder="1" applyAlignment="1">
      <alignment horizontal="left" vertical="center"/>
    </xf>
    <xf numFmtId="165" fontId="11" fillId="3" borderId="21" xfId="1" applyNumberFormat="1" applyFont="1" applyFill="1" applyBorder="1" applyAlignment="1">
      <alignment horizontal="left" vertical="center"/>
    </xf>
    <xf numFmtId="165" fontId="7" fillId="3" borderId="19" xfId="1" applyNumberFormat="1" applyFont="1" applyFill="1" applyBorder="1" applyAlignment="1">
      <alignment horizontal="center" vertical="center"/>
    </xf>
    <xf numFmtId="165" fontId="7" fillId="3" borderId="16" xfId="1" applyNumberFormat="1" applyFont="1" applyFill="1" applyBorder="1" applyAlignment="1">
      <alignment horizontal="center" vertical="center"/>
    </xf>
    <xf numFmtId="165" fontId="7" fillId="3" borderId="18" xfId="1" applyNumberFormat="1" applyFont="1" applyFill="1" applyBorder="1" applyAlignment="1">
      <alignment horizontal="center" vertical="center"/>
    </xf>
    <xf numFmtId="0" fontId="9" fillId="0" borderId="8" xfId="1" applyFont="1" applyBorder="1" applyAlignment="1">
      <alignment horizontal="center" vertical="center"/>
    </xf>
    <xf numFmtId="0" fontId="9" fillId="0" borderId="22" xfId="1" applyFont="1" applyBorder="1" applyAlignment="1">
      <alignment horizontal="center" vertical="center"/>
    </xf>
    <xf numFmtId="0" fontId="9" fillId="0" borderId="21" xfId="1" applyFont="1" applyBorder="1" applyAlignment="1">
      <alignment horizontal="center" vertical="center"/>
    </xf>
    <xf numFmtId="165" fontId="7" fillId="7" borderId="23" xfId="1" applyNumberFormat="1" applyFont="1" applyFill="1" applyBorder="1" applyAlignment="1">
      <alignment vertical="center"/>
    </xf>
    <xf numFmtId="165" fontId="7" fillId="7" borderId="8" xfId="1" applyNumberFormat="1" applyFont="1" applyFill="1" applyBorder="1" applyAlignment="1">
      <alignment vertical="center"/>
    </xf>
    <xf numFmtId="165" fontId="7" fillId="6" borderId="21" xfId="1" applyNumberFormat="1" applyFont="1" applyFill="1" applyBorder="1" applyAlignment="1">
      <alignment vertical="center"/>
    </xf>
    <xf numFmtId="165" fontId="7" fillId="3" borderId="23" xfId="1" applyNumberFormat="1" applyFont="1" applyFill="1" applyBorder="1" applyAlignment="1">
      <alignment horizontal="center" vertical="center"/>
    </xf>
    <xf numFmtId="165" fontId="7" fillId="3" borderId="8" xfId="1" applyNumberFormat="1" applyFont="1" applyFill="1" applyBorder="1" applyAlignment="1">
      <alignment horizontal="center" vertical="center"/>
    </xf>
    <xf numFmtId="165" fontId="7" fillId="3" borderId="21" xfId="1" applyNumberFormat="1" applyFont="1" applyFill="1" applyBorder="1" applyAlignment="1">
      <alignment horizontal="center" vertical="center"/>
    </xf>
    <xf numFmtId="0" fontId="9" fillId="0" borderId="18" xfId="1" applyFont="1" applyBorder="1" applyAlignment="1">
      <alignment horizontal="center" vertical="center"/>
    </xf>
    <xf numFmtId="0" fontId="7" fillId="0" borderId="24" xfId="1" applyFont="1" applyBorder="1" applyAlignment="1">
      <alignment horizontal="center" vertical="center"/>
    </xf>
    <xf numFmtId="0" fontId="8" fillId="0" borderId="25" xfId="1" applyFont="1" applyBorder="1" applyAlignment="1">
      <alignment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165" fontId="7" fillId="6" borderId="28" xfId="1" applyNumberFormat="1" applyFont="1" applyFill="1" applyBorder="1" applyAlignment="1">
      <alignment vertical="center"/>
    </xf>
    <xf numFmtId="165" fontId="7" fillId="6" borderId="25" xfId="1" applyNumberFormat="1" applyFont="1" applyFill="1" applyBorder="1" applyAlignment="1">
      <alignment vertical="center"/>
    </xf>
    <xf numFmtId="165" fontId="7" fillId="6" borderId="27" xfId="1" applyNumberFormat="1" applyFont="1" applyFill="1" applyBorder="1" applyAlignment="1">
      <alignment vertical="center"/>
    </xf>
    <xf numFmtId="165" fontId="7" fillId="3" borderId="29" xfId="1" applyNumberFormat="1" applyFont="1" applyFill="1" applyBorder="1" applyAlignment="1">
      <alignment horizontal="left" vertical="center"/>
    </xf>
    <xf numFmtId="165" fontId="7" fillId="3" borderId="27" xfId="1" applyNumberFormat="1" applyFont="1" applyFill="1" applyBorder="1" applyAlignment="1">
      <alignment horizontal="left" vertical="center"/>
    </xf>
    <xf numFmtId="165" fontId="7" fillId="3" borderId="28" xfId="1" applyNumberFormat="1" applyFont="1" applyFill="1" applyBorder="1" applyAlignment="1">
      <alignment horizontal="center" vertical="center"/>
    </xf>
    <xf numFmtId="165" fontId="7" fillId="3" borderId="25" xfId="1" applyNumberFormat="1" applyFont="1" applyFill="1" applyBorder="1" applyAlignment="1">
      <alignment horizontal="center" vertical="center"/>
    </xf>
    <xf numFmtId="165" fontId="7" fillId="3" borderId="27" xfId="1" applyNumberFormat="1" applyFont="1" applyFill="1" applyBorder="1" applyAlignment="1">
      <alignment horizontal="center" vertical="center"/>
    </xf>
    <xf numFmtId="0" fontId="7" fillId="3" borderId="0" xfId="1" applyFont="1" applyFill="1" applyAlignment="1">
      <alignment horizontal="left" vertical="center"/>
    </xf>
    <xf numFmtId="0" fontId="3" fillId="3" borderId="0" xfId="1" applyFill="1" applyAlignment="1">
      <alignment horizontal="center" vertical="center"/>
    </xf>
    <xf numFmtId="0" fontId="9" fillId="0" borderId="11" xfId="1" applyFont="1" applyBorder="1" applyAlignment="1">
      <alignment horizontal="center" vertical="center"/>
    </xf>
    <xf numFmtId="165" fontId="7" fillId="7" borderId="12" xfId="1" applyNumberFormat="1" applyFont="1" applyFill="1" applyBorder="1" applyAlignment="1">
      <alignment vertical="center"/>
    </xf>
    <xf numFmtId="165" fontId="7" fillId="7" borderId="9" xfId="1" applyNumberFormat="1" applyFont="1" applyFill="1" applyBorder="1" applyAlignment="1">
      <alignment vertical="center"/>
    </xf>
    <xf numFmtId="165" fontId="7" fillId="6" borderId="11" xfId="1" applyNumberFormat="1" applyFont="1" applyFill="1" applyBorder="1" applyAlignment="1">
      <alignment vertical="center"/>
    </xf>
    <xf numFmtId="165" fontId="7" fillId="3" borderId="13" xfId="1" applyNumberFormat="1" applyFont="1" applyFill="1" applyBorder="1" applyAlignment="1">
      <alignment horizontal="left" vertical="center"/>
    </xf>
    <xf numFmtId="165" fontId="7" fillId="3" borderId="11" xfId="1" applyNumberFormat="1" applyFont="1" applyFill="1" applyBorder="1" applyAlignment="1">
      <alignment horizontal="left" vertical="center"/>
    </xf>
    <xf numFmtId="165" fontId="7" fillId="3" borderId="20" xfId="1" applyNumberFormat="1" applyFont="1" applyFill="1" applyBorder="1" applyAlignment="1">
      <alignment horizontal="left" vertical="center"/>
    </xf>
    <xf numFmtId="165" fontId="7" fillId="3" borderId="21" xfId="1" applyNumberFormat="1" applyFont="1" applyFill="1" applyBorder="1" applyAlignment="1">
      <alignment horizontal="left" vertical="center"/>
    </xf>
    <xf numFmtId="0" fontId="7" fillId="3" borderId="0" xfId="1" applyFont="1" applyFill="1" applyBorder="1" applyAlignment="1">
      <alignment vertical="center"/>
    </xf>
    <xf numFmtId="0" fontId="9" fillId="0" borderId="15" xfId="1" applyFont="1" applyBorder="1" applyAlignment="1">
      <alignment horizontal="center" vertical="center"/>
    </xf>
    <xf numFmtId="0" fontId="9" fillId="0" borderId="30" xfId="1" applyFont="1" applyBorder="1" applyAlignment="1">
      <alignment horizontal="center" vertical="center"/>
    </xf>
    <xf numFmtId="165" fontId="7" fillId="7" borderId="31" xfId="1" applyNumberFormat="1" applyFont="1" applyFill="1" applyBorder="1" applyAlignment="1">
      <alignment vertical="center"/>
    </xf>
    <xf numFmtId="165" fontId="7" fillId="7" borderId="15" xfId="1" applyNumberFormat="1" applyFont="1" applyFill="1" applyBorder="1" applyAlignment="1">
      <alignment vertical="center"/>
    </xf>
    <xf numFmtId="165" fontId="7" fillId="3" borderId="31" xfId="1" applyNumberFormat="1" applyFont="1" applyFill="1" applyBorder="1" applyAlignment="1">
      <alignment horizontal="center" vertical="center"/>
    </xf>
    <xf numFmtId="165" fontId="7" fillId="3" borderId="15" xfId="1" applyNumberFormat="1" applyFont="1" applyFill="1" applyBorder="1" applyAlignment="1">
      <alignment horizontal="center" vertical="center"/>
    </xf>
    <xf numFmtId="165" fontId="7" fillId="6" borderId="23" xfId="1" applyNumberFormat="1" applyFont="1" applyFill="1" applyBorder="1" applyAlignment="1">
      <alignment horizontal="right" vertical="center"/>
    </xf>
    <xf numFmtId="165" fontId="7" fillId="6" borderId="8" xfId="1" applyNumberFormat="1" applyFont="1" applyFill="1" applyBorder="1" applyAlignment="1">
      <alignment horizontal="right" vertical="center"/>
    </xf>
    <xf numFmtId="10" fontId="7" fillId="6" borderId="28" xfId="1" applyNumberFormat="1" applyFont="1" applyFill="1" applyBorder="1" applyAlignment="1">
      <alignment horizontal="right" vertical="center"/>
    </xf>
    <xf numFmtId="10" fontId="7" fillId="6" borderId="25" xfId="1" applyNumberFormat="1" applyFont="1" applyFill="1" applyBorder="1" applyAlignment="1">
      <alignment horizontal="right" vertical="center"/>
    </xf>
    <xf numFmtId="10" fontId="7" fillId="6" borderId="27" xfId="1" applyNumberFormat="1" applyFont="1" applyFill="1" applyBorder="1" applyAlignment="1">
      <alignment horizontal="right" vertical="center"/>
    </xf>
    <xf numFmtId="10" fontId="7" fillId="3" borderId="28" xfId="1" applyNumberFormat="1" applyFont="1" applyFill="1" applyBorder="1" applyAlignment="1">
      <alignment horizontal="center" vertical="center"/>
    </xf>
    <xf numFmtId="10" fontId="7" fillId="3" borderId="25" xfId="1" applyNumberFormat="1" applyFont="1" applyFill="1" applyBorder="1" applyAlignment="1">
      <alignment horizontal="center" vertical="center"/>
    </xf>
    <xf numFmtId="10" fontId="7" fillId="3" borderId="27" xfId="1" applyNumberFormat="1" applyFont="1" applyFill="1" applyBorder="1" applyAlignment="1">
      <alignment horizontal="center" vertical="center"/>
    </xf>
    <xf numFmtId="0" fontId="6" fillId="4" borderId="32" xfId="1" applyFont="1" applyFill="1" applyBorder="1" applyAlignment="1">
      <alignment horizontal="center" vertical="center"/>
    </xf>
    <xf numFmtId="0" fontId="6" fillId="4" borderId="33" xfId="1" applyFont="1" applyFill="1" applyBorder="1" applyAlignment="1">
      <alignment vertical="center"/>
    </xf>
    <xf numFmtId="0" fontId="7" fillId="0" borderId="34" xfId="1" applyFont="1" applyBorder="1" applyAlignment="1">
      <alignment horizontal="center" vertical="center"/>
    </xf>
    <xf numFmtId="0" fontId="8" fillId="0" borderId="9" xfId="1" applyFont="1" applyBorder="1" applyAlignment="1">
      <alignment vertical="center"/>
    </xf>
    <xf numFmtId="0" fontId="9" fillId="0" borderId="33" xfId="1" applyFont="1" applyBorder="1" applyAlignment="1">
      <alignment horizontal="center" vertical="center"/>
    </xf>
    <xf numFmtId="165" fontId="7" fillId="7" borderId="35" xfId="1" applyNumberFormat="1" applyFont="1" applyFill="1" applyBorder="1" applyAlignment="1">
      <alignment vertical="center"/>
    </xf>
    <xf numFmtId="165" fontId="7" fillId="3" borderId="35" xfId="1" applyNumberFormat="1" applyFont="1" applyFill="1" applyBorder="1" applyAlignment="1">
      <alignment horizontal="center" vertical="center"/>
    </xf>
    <xf numFmtId="165" fontId="7" fillId="3" borderId="36" xfId="1" applyNumberFormat="1" applyFont="1" applyFill="1" applyBorder="1" applyAlignment="1">
      <alignment horizontal="center" vertical="center"/>
    </xf>
    <xf numFmtId="0" fontId="12" fillId="3" borderId="0" xfId="3" applyFont="1" applyFill="1" applyBorder="1" applyAlignment="1">
      <alignment vertical="center"/>
    </xf>
    <xf numFmtId="0" fontId="13" fillId="3" borderId="0" xfId="3" applyFont="1" applyFill="1" applyAlignment="1">
      <alignment vertical="center"/>
    </xf>
    <xf numFmtId="0" fontId="12" fillId="3" borderId="0" xfId="3" applyFont="1" applyFill="1" applyAlignment="1">
      <alignment vertical="center"/>
    </xf>
    <xf numFmtId="0" fontId="8" fillId="7" borderId="8" xfId="1" applyFont="1" applyFill="1" applyBorder="1" applyAlignment="1">
      <alignment horizontal="center" vertical="center"/>
    </xf>
    <xf numFmtId="0" fontId="8" fillId="3" borderId="0" xfId="1" applyFont="1" applyFill="1" applyBorder="1" applyAlignment="1">
      <alignment horizontal="left" vertical="center"/>
    </xf>
    <xf numFmtId="0" fontId="8" fillId="8" borderId="8" xfId="1" applyFont="1" applyFill="1" applyBorder="1" applyAlignment="1">
      <alignment horizontal="center" vertical="center"/>
    </xf>
    <xf numFmtId="0" fontId="12" fillId="3" borderId="0" xfId="3" applyFill="1" applyBorder="1" applyAlignment="1">
      <alignment vertical="center"/>
    </xf>
    <xf numFmtId="0" fontId="8" fillId="6" borderId="8" xfId="1" applyFont="1" applyFill="1" applyBorder="1" applyAlignment="1">
      <alignment horizontal="center" vertical="center"/>
    </xf>
    <xf numFmtId="0" fontId="14" fillId="3" borderId="0" xfId="1" applyNumberFormat="1" applyFont="1" applyFill="1" applyBorder="1" applyAlignment="1" applyProtection="1">
      <alignment vertical="center"/>
    </xf>
    <xf numFmtId="0" fontId="8" fillId="5" borderId="8" xfId="1" applyFont="1" applyFill="1" applyBorder="1" applyAlignment="1">
      <alignment horizontal="center" vertical="center"/>
    </xf>
    <xf numFmtId="0" fontId="15" fillId="3" borderId="0" xfId="4" applyFont="1" applyFill="1"/>
    <xf numFmtId="0" fontId="3" fillId="3" borderId="0" xfId="1" applyFill="1"/>
    <xf numFmtId="0" fontId="8" fillId="3" borderId="0" xfId="1" applyFont="1" applyFill="1" applyBorder="1" applyAlignment="1">
      <alignment horizontal="center" vertical="center"/>
    </xf>
    <xf numFmtId="49" fontId="12" fillId="3" borderId="0" xfId="1" applyNumberFormat="1" applyFont="1" applyFill="1" applyBorder="1" applyAlignment="1" applyProtection="1">
      <alignment vertical="top" wrapText="1"/>
    </xf>
    <xf numFmtId="0" fontId="14" fillId="4" borderId="1" xfId="1" applyNumberFormat="1" applyFont="1" applyFill="1" applyBorder="1" applyAlignment="1" applyProtection="1">
      <alignment vertical="center"/>
    </xf>
    <xf numFmtId="0" fontId="16" fillId="4" borderId="37" xfId="5" applyFont="1" applyFill="1" applyBorder="1" applyAlignment="1" applyProtection="1">
      <alignment horizontal="left" vertical="center"/>
    </xf>
    <xf numFmtId="0" fontId="16" fillId="4" borderId="37" xfId="5" applyFont="1" applyFill="1" applyBorder="1" applyAlignment="1" applyProtection="1">
      <alignment vertical="center"/>
    </xf>
    <xf numFmtId="0" fontId="16" fillId="4" borderId="38" xfId="5" applyFont="1" applyFill="1" applyBorder="1" applyAlignment="1" applyProtection="1">
      <alignment vertical="center"/>
    </xf>
    <xf numFmtId="0" fontId="16" fillId="3" borderId="0" xfId="5" applyFont="1" applyFill="1" applyBorder="1" applyAlignment="1" applyProtection="1">
      <alignment vertical="center"/>
    </xf>
    <xf numFmtId="0" fontId="16" fillId="3" borderId="0" xfId="5" applyFont="1" applyFill="1" applyBorder="1" applyAlignment="1" applyProtection="1">
      <alignment horizontal="left" vertical="center"/>
    </xf>
    <xf numFmtId="0" fontId="13" fillId="3" borderId="0" xfId="5" applyFont="1" applyFill="1" applyBorder="1" applyAlignment="1" applyProtection="1">
      <alignment vertical="top"/>
    </xf>
    <xf numFmtId="0" fontId="12" fillId="3" borderId="0" xfId="1" applyFont="1" applyFill="1" applyBorder="1" applyAlignment="1">
      <alignment vertical="center" wrapText="1"/>
    </xf>
    <xf numFmtId="49" fontId="12" fillId="3" borderId="0" xfId="5" applyNumberFormat="1" applyFont="1" applyFill="1" applyBorder="1" applyAlignment="1" applyProtection="1">
      <alignment vertical="top" wrapText="1"/>
    </xf>
    <xf numFmtId="0" fontId="12" fillId="3" borderId="0" xfId="5" applyFont="1" applyFill="1" applyAlignment="1" applyProtection="1">
      <alignment vertical="center"/>
    </xf>
    <xf numFmtId="0" fontId="12" fillId="3" borderId="0" xfId="5" applyFont="1" applyFill="1" applyAlignment="1" applyProtection="1">
      <alignment horizontal="left" vertical="center"/>
    </xf>
    <xf numFmtId="0" fontId="3" fillId="3" borderId="0" xfId="1" applyFill="1" applyProtection="1"/>
    <xf numFmtId="0" fontId="3" fillId="3" borderId="0" xfId="1" applyFill="1" applyBorder="1" applyProtection="1"/>
    <xf numFmtId="0" fontId="13" fillId="0" borderId="34" xfId="5" applyFont="1" applyFill="1" applyBorder="1" applyAlignment="1" applyProtection="1">
      <alignment horizontal="center" vertical="top"/>
    </xf>
    <xf numFmtId="0" fontId="13" fillId="4" borderId="20" xfId="5" applyFont="1" applyFill="1" applyBorder="1" applyAlignment="1" applyProtection="1">
      <alignment horizontal="center" vertical="top"/>
    </xf>
    <xf numFmtId="0" fontId="13" fillId="4" borderId="39" xfId="5" applyFont="1" applyFill="1" applyBorder="1" applyAlignment="1" applyProtection="1">
      <alignment horizontal="left" vertical="top"/>
    </xf>
    <xf numFmtId="0" fontId="13" fillId="4" borderId="40" xfId="5" applyFont="1" applyFill="1" applyBorder="1" applyAlignment="1" applyProtection="1">
      <alignment horizontal="left" vertical="top"/>
    </xf>
    <xf numFmtId="0" fontId="12" fillId="0" borderId="7" xfId="5" applyNumberFormat="1" applyFont="1" applyFill="1" applyBorder="1" applyAlignment="1" applyProtection="1">
      <alignment horizontal="center" vertical="top"/>
    </xf>
    <xf numFmtId="0" fontId="10" fillId="3" borderId="0" xfId="5" applyFont="1" applyFill="1" applyBorder="1" applyAlignment="1" applyProtection="1">
      <alignment vertical="top" wrapText="1"/>
    </xf>
    <xf numFmtId="0" fontId="12" fillId="0" borderId="24" xfId="5" quotePrefix="1" applyNumberFormat="1" applyFont="1" applyFill="1" applyBorder="1" applyAlignment="1" applyProtection="1">
      <alignment horizontal="center" vertical="top"/>
    </xf>
    <xf numFmtId="0" fontId="17" fillId="0" borderId="0" xfId="1" applyFont="1"/>
    <xf numFmtId="0" fontId="1" fillId="0" borderId="0" xfId="1" applyFont="1"/>
    <xf numFmtId="0" fontId="1" fillId="0" borderId="0" xfId="1" applyFont="1" applyAlignment="1">
      <alignment horizontal="center"/>
    </xf>
    <xf numFmtId="166" fontId="1" fillId="0" borderId="0" xfId="1" applyNumberFormat="1" applyFont="1"/>
    <xf numFmtId="167" fontId="1" fillId="0" borderId="0" xfId="6" applyNumberFormat="1" applyFont="1"/>
    <xf numFmtId="0" fontId="1" fillId="6" borderId="0" xfId="1" applyFont="1" applyFill="1" applyAlignment="1">
      <alignment horizontal="center"/>
    </xf>
    <xf numFmtId="0" fontId="2" fillId="0" borderId="0" xfId="1" quotePrefix="1" applyFont="1"/>
    <xf numFmtId="0" fontId="1" fillId="0" borderId="0" xfId="1" applyFont="1" applyFill="1"/>
    <xf numFmtId="168" fontId="1" fillId="0" borderId="0" xfId="7" applyNumberFormat="1" applyFont="1"/>
    <xf numFmtId="15" fontId="2" fillId="0" borderId="0" xfId="1" quotePrefix="1" applyNumberFormat="1" applyFont="1"/>
    <xf numFmtId="169" fontId="1" fillId="0" borderId="0" xfId="7" applyNumberFormat="1" applyFont="1"/>
    <xf numFmtId="168" fontId="1" fillId="0" borderId="0" xfId="1" applyNumberFormat="1" applyFont="1"/>
    <xf numFmtId="169" fontId="1" fillId="0" borderId="0" xfId="8" applyNumberFormat="1" applyFont="1"/>
    <xf numFmtId="0" fontId="1" fillId="0" borderId="0" xfId="1" applyFont="1" applyAlignment="1">
      <alignment horizontal="center"/>
    </xf>
    <xf numFmtId="0" fontId="1" fillId="0" borderId="0" xfId="1" applyFont="1" applyAlignment="1">
      <alignment horizontal="center"/>
    </xf>
    <xf numFmtId="170" fontId="1" fillId="0" borderId="0" xfId="7" applyNumberFormat="1" applyFont="1"/>
    <xf numFmtId="170" fontId="1" fillId="0" borderId="41" xfId="7" applyNumberFormat="1" applyFont="1" applyBorder="1"/>
    <xf numFmtId="170" fontId="1" fillId="0" borderId="0" xfId="7" applyNumberFormat="1" applyFont="1" applyBorder="1"/>
    <xf numFmtId="170" fontId="1" fillId="0" borderId="0" xfId="1" applyNumberFormat="1" applyFont="1" applyFill="1" applyAlignment="1">
      <alignment horizontal="center"/>
    </xf>
    <xf numFmtId="170" fontId="1" fillId="0" borderId="41" xfId="1" applyNumberFormat="1" applyFont="1" applyFill="1" applyBorder="1" applyAlignment="1">
      <alignment horizontal="center"/>
    </xf>
    <xf numFmtId="170" fontId="1" fillId="0" borderId="0" xfId="1" applyNumberFormat="1" applyFont="1"/>
    <xf numFmtId="170" fontId="1" fillId="0" borderId="41" xfId="1" applyNumberFormat="1" applyFont="1" applyBorder="1"/>
    <xf numFmtId="170" fontId="1" fillId="4" borderId="0" xfId="7" applyNumberFormat="1" applyFont="1" applyFill="1"/>
    <xf numFmtId="170" fontId="1" fillId="4" borderId="41" xfId="7" applyNumberFormat="1" applyFont="1" applyFill="1" applyBorder="1"/>
    <xf numFmtId="170" fontId="1" fillId="8" borderId="0" xfId="7" applyNumberFormat="1" applyFont="1" applyFill="1"/>
    <xf numFmtId="170" fontId="1" fillId="8" borderId="41" xfId="7" applyNumberFormat="1" applyFont="1" applyFill="1" applyBorder="1"/>
    <xf numFmtId="170" fontId="1" fillId="0" borderId="42" xfId="7" applyNumberFormat="1" applyFont="1" applyBorder="1"/>
    <xf numFmtId="170" fontId="1" fillId="0" borderId="43" xfId="7" applyNumberFormat="1" applyFont="1" applyBorder="1"/>
    <xf numFmtId="0" fontId="1" fillId="9" borderId="0" xfId="1" applyFont="1" applyFill="1" applyAlignment="1">
      <alignment horizontal="center"/>
    </xf>
    <xf numFmtId="170" fontId="1" fillId="4" borderId="0" xfId="7" applyNumberFormat="1" applyFont="1" applyFill="1" applyBorder="1"/>
    <xf numFmtId="170" fontId="1" fillId="8" borderId="0" xfId="7" applyNumberFormat="1" applyFont="1" applyFill="1" applyBorder="1"/>
    <xf numFmtId="170" fontId="1" fillId="0" borderId="44" xfId="7" applyNumberFormat="1" applyFont="1" applyBorder="1"/>
    <xf numFmtId="168" fontId="1" fillId="0" borderId="0" xfId="7" applyNumberFormat="1" applyFont="1" applyAlignment="1">
      <alignment horizontal="left"/>
    </xf>
    <xf numFmtId="165" fontId="10" fillId="3" borderId="20" xfId="1" applyNumberFormat="1" applyFont="1" applyFill="1" applyBorder="1" applyAlignment="1">
      <alignment horizontal="left" vertical="center"/>
    </xf>
    <xf numFmtId="165" fontId="10" fillId="3" borderId="29" xfId="1" applyNumberFormat="1" applyFont="1" applyFill="1" applyBorder="1" applyAlignment="1">
      <alignment horizontal="left" vertical="center"/>
    </xf>
    <xf numFmtId="171" fontId="1" fillId="0" borderId="0" xfId="1" applyNumberFormat="1" applyFont="1"/>
    <xf numFmtId="0" fontId="0" fillId="3" borderId="0" xfId="0" applyFill="1" applyBorder="1"/>
    <xf numFmtId="0" fontId="8" fillId="3" borderId="9" xfId="1" applyFont="1" applyFill="1" applyBorder="1" applyAlignment="1">
      <alignment vertical="center"/>
    </xf>
    <xf numFmtId="2" fontId="7" fillId="7" borderId="12" xfId="1" applyNumberFormat="1" applyFont="1" applyFill="1" applyBorder="1" applyAlignment="1">
      <alignment horizontal="right" vertical="center"/>
    </xf>
    <xf numFmtId="2" fontId="7" fillId="7" borderId="9" xfId="1" applyNumberFormat="1" applyFont="1" applyFill="1" applyBorder="1" applyAlignment="1">
      <alignment horizontal="right" vertical="center"/>
    </xf>
    <xf numFmtId="165" fontId="7" fillId="6" borderId="11" xfId="1" applyNumberFormat="1" applyFont="1" applyFill="1" applyBorder="1" applyAlignment="1">
      <alignment horizontal="right" vertical="center"/>
    </xf>
    <xf numFmtId="0" fontId="9" fillId="0" borderId="21" xfId="1" quotePrefix="1" applyFont="1" applyBorder="1" applyAlignment="1">
      <alignment horizontal="center" vertical="center"/>
    </xf>
    <xf numFmtId="2" fontId="7" fillId="7" borderId="23" xfId="1" applyNumberFormat="1" applyFont="1" applyFill="1" applyBorder="1" applyAlignment="1">
      <alignment horizontal="right" vertical="center"/>
    </xf>
    <xf numFmtId="2" fontId="7" fillId="7" borderId="8" xfId="1" applyNumberFormat="1" applyFont="1" applyFill="1" applyBorder="1" applyAlignment="1">
      <alignment horizontal="right" vertical="center"/>
    </xf>
    <xf numFmtId="0" fontId="9" fillId="0" borderId="27" xfId="1" quotePrefix="1" applyFont="1" applyBorder="1" applyAlignment="1">
      <alignment horizontal="center" vertical="center"/>
    </xf>
    <xf numFmtId="1" fontId="9" fillId="0" borderId="10" xfId="1" applyNumberFormat="1" applyFont="1" applyBorder="1" applyAlignment="1">
      <alignment horizontal="center" vertical="center"/>
    </xf>
    <xf numFmtId="1" fontId="9" fillId="0" borderId="11" xfId="1" applyNumberFormat="1" applyFont="1" applyBorder="1" applyAlignment="1">
      <alignment horizontal="center" vertical="center"/>
    </xf>
    <xf numFmtId="1" fontId="9" fillId="0" borderId="22" xfId="1" applyNumberFormat="1" applyFont="1" applyBorder="1" applyAlignment="1">
      <alignment horizontal="center" vertical="center"/>
    </xf>
    <xf numFmtId="1" fontId="9" fillId="0" borderId="21" xfId="1" applyNumberFormat="1" applyFont="1" applyBorder="1" applyAlignment="1">
      <alignment horizontal="center" vertical="center"/>
    </xf>
    <xf numFmtId="165" fontId="7" fillId="6" borderId="21" xfId="1" applyNumberFormat="1" applyFont="1" applyFill="1" applyBorder="1" applyAlignment="1">
      <alignment horizontal="right" vertical="center"/>
    </xf>
    <xf numFmtId="2" fontId="7" fillId="6" borderId="24" xfId="1" applyNumberFormat="1" applyFont="1" applyFill="1" applyBorder="1" applyAlignment="1">
      <alignment horizontal="right" vertical="center"/>
    </xf>
    <xf numFmtId="2" fontId="7" fillId="6" borderId="28" xfId="1" applyNumberFormat="1" applyFont="1" applyFill="1" applyBorder="1" applyAlignment="1">
      <alignment horizontal="right" vertical="center"/>
    </xf>
    <xf numFmtId="2" fontId="7" fillId="6" borderId="27" xfId="1" applyNumberFormat="1" applyFont="1" applyFill="1" applyBorder="1" applyAlignment="1">
      <alignment horizontal="right" vertical="center"/>
    </xf>
    <xf numFmtId="0" fontId="9" fillId="0" borderId="11" xfId="1" quotePrefix="1" applyFont="1" applyBorder="1" applyAlignment="1">
      <alignment horizontal="center" vertical="center"/>
    </xf>
    <xf numFmtId="0" fontId="7" fillId="7" borderId="45" xfId="1" applyFont="1" applyFill="1" applyBorder="1" applyAlignment="1">
      <alignment horizontal="right" vertical="center"/>
    </xf>
    <xf numFmtId="0" fontId="7" fillId="3" borderId="0" xfId="1" applyFont="1" applyFill="1" applyBorder="1" applyAlignment="1">
      <alignment horizontal="right" vertical="center"/>
    </xf>
    <xf numFmtId="0" fontId="8" fillId="3" borderId="46" xfId="1" applyFont="1" applyFill="1" applyBorder="1" applyAlignment="1">
      <alignment vertical="center"/>
    </xf>
    <xf numFmtId="165" fontId="7" fillId="7" borderId="40" xfId="1" applyNumberFormat="1" applyFont="1" applyFill="1" applyBorder="1" applyAlignment="1">
      <alignment vertical="center"/>
    </xf>
    <xf numFmtId="2" fontId="7" fillId="6" borderId="47" xfId="1" applyNumberFormat="1" applyFont="1" applyFill="1" applyBorder="1" applyAlignment="1">
      <alignment horizontal="right" vertical="center"/>
    </xf>
    <xf numFmtId="1" fontId="7" fillId="3" borderId="0" xfId="1" applyNumberFormat="1" applyFont="1" applyFill="1" applyBorder="1" applyAlignment="1">
      <alignment vertical="center"/>
    </xf>
    <xf numFmtId="165" fontId="7" fillId="3" borderId="34" xfId="1" applyNumberFormat="1" applyFont="1" applyFill="1" applyBorder="1" applyAlignment="1">
      <alignment horizontal="left" vertical="center"/>
    </xf>
    <xf numFmtId="165" fontId="7" fillId="3" borderId="7" xfId="1" applyNumberFormat="1" applyFont="1" applyFill="1" applyBorder="1" applyAlignment="1">
      <alignment horizontal="left" vertical="center"/>
    </xf>
    <xf numFmtId="165" fontId="7" fillId="3" borderId="24" xfId="1" applyNumberFormat="1" applyFont="1" applyFill="1" applyBorder="1" applyAlignment="1">
      <alignment horizontal="left" vertical="center"/>
    </xf>
    <xf numFmtId="0" fontId="8" fillId="4" borderId="8" xfId="1" applyFont="1" applyFill="1" applyBorder="1" applyAlignment="1">
      <alignment horizontal="center" vertical="center"/>
    </xf>
    <xf numFmtId="0" fontId="8" fillId="3" borderId="0" xfId="9" applyFont="1" applyFill="1" applyAlignment="1" applyProtection="1">
      <alignment vertical="center"/>
    </xf>
    <xf numFmtId="0" fontId="8" fillId="3" borderId="0" xfId="9" applyFont="1" applyFill="1" applyAlignment="1" applyProtection="1">
      <alignment horizontal="left" vertical="center"/>
    </xf>
    <xf numFmtId="0" fontId="12" fillId="0" borderId="7" xfId="5" applyFont="1" applyFill="1" applyBorder="1" applyAlignment="1" applyProtection="1">
      <alignment horizontal="center" vertical="top"/>
    </xf>
    <xf numFmtId="0" fontId="12" fillId="0" borderId="24" xfId="5" applyFont="1" applyFill="1" applyBorder="1" applyAlignment="1" applyProtection="1">
      <alignment horizontal="center" vertical="top"/>
    </xf>
    <xf numFmtId="165" fontId="7" fillId="7" borderId="12" xfId="1" applyNumberFormat="1" applyFont="1" applyFill="1" applyBorder="1" applyAlignment="1">
      <alignment horizontal="right" vertical="center"/>
    </xf>
    <xf numFmtId="165" fontId="7" fillId="6" borderId="39" xfId="1" applyNumberFormat="1" applyFont="1" applyFill="1" applyBorder="1" applyAlignment="1">
      <alignment horizontal="right" vertical="center"/>
    </xf>
    <xf numFmtId="165" fontId="7" fillId="6" borderId="48" xfId="1" applyNumberFormat="1" applyFont="1" applyFill="1" applyBorder="1" applyAlignment="1">
      <alignment horizontal="right" vertical="center"/>
    </xf>
    <xf numFmtId="165" fontId="7" fillId="6" borderId="49" xfId="1" applyNumberFormat="1" applyFont="1" applyFill="1" applyBorder="1" applyAlignment="1">
      <alignment horizontal="right" vertical="center"/>
    </xf>
    <xf numFmtId="1" fontId="7" fillId="7" borderId="23" xfId="1" applyNumberFormat="1" applyFont="1" applyFill="1" applyBorder="1" applyAlignment="1">
      <alignment horizontal="right" vertical="center"/>
    </xf>
    <xf numFmtId="1" fontId="7" fillId="7" borderId="23" xfId="1" applyNumberFormat="1" applyFont="1" applyFill="1" applyBorder="1" applyAlignment="1">
      <alignment vertical="center"/>
    </xf>
    <xf numFmtId="1" fontId="7" fillId="7" borderId="28" xfId="1" applyNumberFormat="1" applyFont="1" applyFill="1" applyBorder="1" applyAlignment="1">
      <alignment vertical="center"/>
    </xf>
    <xf numFmtId="165" fontId="7" fillId="6" borderId="30" xfId="1" applyNumberFormat="1" applyFont="1" applyFill="1" applyBorder="1" applyAlignment="1">
      <alignment horizontal="right" vertical="center"/>
    </xf>
    <xf numFmtId="165" fontId="7" fillId="6" borderId="15" xfId="1" applyNumberFormat="1" applyFont="1" applyFill="1" applyBorder="1" applyAlignment="1">
      <alignment horizontal="right" vertical="center"/>
    </xf>
    <xf numFmtId="165" fontId="7" fillId="6" borderId="50" xfId="1" applyNumberFormat="1" applyFont="1" applyFill="1" applyBorder="1" applyAlignment="1">
      <alignment horizontal="right" vertical="center"/>
    </xf>
    <xf numFmtId="165" fontId="7" fillId="6" borderId="25" xfId="1" applyNumberFormat="1" applyFont="1" applyFill="1" applyBorder="1" applyAlignment="1">
      <alignment horizontal="right" vertical="center"/>
    </xf>
    <xf numFmtId="165" fontId="7" fillId="6" borderId="27" xfId="1" applyNumberFormat="1" applyFont="1" applyFill="1" applyBorder="1" applyAlignment="1">
      <alignment horizontal="right" vertical="center"/>
    </xf>
    <xf numFmtId="1" fontId="7" fillId="7" borderId="8" xfId="1" applyNumberFormat="1" applyFont="1" applyFill="1" applyBorder="1" applyAlignment="1">
      <alignment horizontal="right" vertical="center"/>
    </xf>
    <xf numFmtId="1" fontId="7" fillId="6" borderId="21" xfId="1" applyNumberFormat="1" applyFont="1" applyFill="1" applyBorder="1" applyAlignment="1">
      <alignment vertical="center"/>
    </xf>
    <xf numFmtId="1" fontId="7" fillId="7" borderId="8" xfId="1" applyNumberFormat="1" applyFont="1" applyFill="1" applyBorder="1" applyAlignment="1">
      <alignment vertical="center"/>
    </xf>
    <xf numFmtId="1" fontId="7" fillId="7" borderId="25" xfId="1" applyNumberFormat="1" applyFont="1" applyFill="1" applyBorder="1" applyAlignment="1">
      <alignment vertical="center"/>
    </xf>
    <xf numFmtId="1" fontId="7" fillId="6" borderId="27" xfId="1" applyNumberFormat="1" applyFont="1" applyFill="1" applyBorder="1" applyAlignment="1">
      <alignment vertical="center"/>
    </xf>
    <xf numFmtId="0" fontId="12" fillId="0" borderId="8" xfId="5" applyFont="1" applyFill="1" applyBorder="1" applyAlignment="1" applyProtection="1">
      <alignment horizontal="left" vertical="top" wrapText="1"/>
    </xf>
    <xf numFmtId="0" fontId="12" fillId="0" borderId="21" xfId="5" applyFont="1" applyFill="1" applyBorder="1" applyAlignment="1" applyProtection="1">
      <alignment horizontal="left" vertical="top" wrapText="1"/>
    </xf>
    <xf numFmtId="0" fontId="12" fillId="0" borderId="25" xfId="5" applyFont="1" applyFill="1" applyBorder="1" applyAlignment="1" applyProtection="1">
      <alignment horizontal="left" vertical="top" wrapText="1"/>
    </xf>
    <xf numFmtId="0" fontId="12" fillId="0" borderId="27" xfId="5" applyFont="1" applyFill="1" applyBorder="1" applyAlignment="1" applyProtection="1">
      <alignment horizontal="left" vertical="top" wrapText="1"/>
    </xf>
    <xf numFmtId="0" fontId="6" fillId="4" borderId="1" xfId="1" applyFont="1" applyFill="1" applyBorder="1" applyAlignment="1">
      <alignment horizontal="left" vertical="center"/>
    </xf>
    <xf numFmtId="0" fontId="6" fillId="4" borderId="2" xfId="1" applyFont="1" applyFill="1" applyBorder="1" applyAlignment="1">
      <alignment horizontal="left" vertical="center"/>
    </xf>
    <xf numFmtId="0" fontId="12" fillId="0" borderId="1" xfId="1" applyNumberFormat="1" applyFont="1" applyFill="1" applyBorder="1" applyAlignment="1" applyProtection="1">
      <alignment horizontal="left" vertical="top" wrapText="1"/>
    </xf>
    <xf numFmtId="0" fontId="12" fillId="0" borderId="37" xfId="1" applyNumberFormat="1" applyFont="1" applyFill="1" applyBorder="1" applyAlignment="1" applyProtection="1">
      <alignment horizontal="left" vertical="top" wrapText="1"/>
    </xf>
    <xf numFmtId="0" fontId="12" fillId="0" borderId="38" xfId="1" applyNumberFormat="1" applyFont="1" applyFill="1" applyBorder="1" applyAlignment="1" applyProtection="1">
      <alignment horizontal="left" vertical="top" wrapText="1"/>
    </xf>
    <xf numFmtId="0" fontId="13" fillId="0" borderId="9" xfId="5" applyFont="1" applyFill="1" applyBorder="1" applyAlignment="1" applyProtection="1">
      <alignment horizontal="left" vertical="top"/>
    </xf>
    <xf numFmtId="0" fontId="13" fillId="0" borderId="11" xfId="5" applyFont="1" applyFill="1" applyBorder="1" applyAlignment="1" applyProtection="1">
      <alignment horizontal="left" vertical="top"/>
    </xf>
    <xf numFmtId="0" fontId="12" fillId="0" borderId="22" xfId="5" applyFont="1" applyFill="1" applyBorder="1" applyAlignment="1" applyProtection="1">
      <alignment horizontal="left" vertical="top" wrapText="1"/>
    </xf>
    <xf numFmtId="0" fontId="12" fillId="0" borderId="39" xfId="5" applyFont="1" applyFill="1" applyBorder="1" applyAlignment="1" applyProtection="1">
      <alignment horizontal="left" vertical="top" wrapText="1"/>
    </xf>
    <xf numFmtId="0" fontId="12" fillId="0" borderId="40" xfId="5" applyFont="1" applyFill="1" applyBorder="1" applyAlignment="1" applyProtection="1">
      <alignment horizontal="left" vertical="top" wrapText="1"/>
    </xf>
    <xf numFmtId="0" fontId="14" fillId="4" borderId="1" xfId="1" applyNumberFormat="1" applyFont="1" applyFill="1" applyBorder="1" applyAlignment="1" applyProtection="1">
      <alignment horizontal="left" vertical="center"/>
    </xf>
    <xf numFmtId="0" fontId="14" fillId="4" borderId="37" xfId="1" applyNumberFormat="1" applyFont="1" applyFill="1" applyBorder="1" applyAlignment="1" applyProtection="1">
      <alignment horizontal="left" vertical="center"/>
    </xf>
    <xf numFmtId="0" fontId="14" fillId="4" borderId="38" xfId="1" applyNumberFormat="1" applyFont="1" applyFill="1" applyBorder="1" applyAlignment="1" applyProtection="1">
      <alignment horizontal="left" vertical="center"/>
    </xf>
    <xf numFmtId="0" fontId="13" fillId="0" borderId="10" xfId="5" applyFont="1" applyFill="1" applyBorder="1" applyAlignment="1" applyProtection="1">
      <alignment horizontal="left" vertical="top"/>
    </xf>
    <xf numFmtId="0" fontId="13" fillId="0" borderId="48" xfId="5" applyFont="1" applyFill="1" applyBorder="1" applyAlignment="1" applyProtection="1">
      <alignment horizontal="left" vertical="top"/>
    </xf>
    <xf numFmtId="0" fontId="13" fillId="0" borderId="45" xfId="5" applyFont="1" applyFill="1" applyBorder="1" applyAlignment="1" applyProtection="1">
      <alignment horizontal="left" vertical="top"/>
    </xf>
    <xf numFmtId="0" fontId="12" fillId="0" borderId="26" xfId="5" applyFont="1" applyFill="1" applyBorder="1" applyAlignment="1" applyProtection="1">
      <alignment horizontal="left" vertical="top" wrapText="1"/>
    </xf>
    <xf numFmtId="0" fontId="12" fillId="0" borderId="50" xfId="5" applyFont="1" applyFill="1" applyBorder="1" applyAlignment="1" applyProtection="1">
      <alignment horizontal="left" vertical="top" wrapText="1"/>
    </xf>
    <xf numFmtId="0" fontId="12" fillId="0" borderId="47" xfId="5" applyFont="1" applyFill="1" applyBorder="1" applyAlignment="1" applyProtection="1">
      <alignment horizontal="left" vertical="top" wrapText="1"/>
    </xf>
    <xf numFmtId="0" fontId="1" fillId="0" borderId="0" xfId="1" applyFont="1" applyAlignment="1">
      <alignment horizontal="center"/>
    </xf>
  </cellXfs>
  <cellStyles count="10">
    <cellStyle name="Comma" xfId="8" builtinId="3"/>
    <cellStyle name="Comma 2" xfId="7"/>
    <cellStyle name="Normal" xfId="0" builtinId="0"/>
    <cellStyle name="Normal 2" xfId="3"/>
    <cellStyle name="Normal 2 2" xfId="5"/>
    <cellStyle name="Normal 3 2 2" xfId="1"/>
    <cellStyle name="Normal 3 3 2" xfId="4"/>
    <cellStyle name="Normal 4" xfId="2"/>
    <cellStyle name="Normal 4 2 2" xfId="9"/>
    <cellStyle name="Percent 2" xfId="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8C9"/>
    <pageSetUpPr fitToPage="1"/>
  </sheetPr>
  <dimension ref="B1:V62"/>
  <sheetViews>
    <sheetView tabSelected="1" zoomScale="80" zoomScaleNormal="80" workbookViewId="0">
      <selection activeCell="H24" sqref="H24"/>
    </sheetView>
  </sheetViews>
  <sheetFormatPr defaultColWidth="10.7109375" defaultRowHeight="14.25"/>
  <cols>
    <col min="1" max="1" width="1.7109375" style="7" customWidth="1"/>
    <col min="2" max="2" width="7.28515625" style="7" customWidth="1"/>
    <col min="3" max="3" width="56.7109375" style="7" bestFit="1" customWidth="1"/>
    <col min="4" max="4" width="9.5703125" style="7" customWidth="1"/>
    <col min="5" max="6" width="6.28515625" style="7" customWidth="1"/>
    <col min="7" max="7" width="19.7109375" style="7" customWidth="1"/>
    <col min="8" max="10" width="10.7109375" style="7"/>
    <col min="11" max="11" width="2.85546875" style="7" customWidth="1"/>
    <col min="12" max="12" width="67.85546875" style="7" bestFit="1" customWidth="1"/>
    <col min="13" max="13" width="19" style="7" customWidth="1"/>
    <col min="14" max="14" width="10.7109375" style="7"/>
    <col min="15" max="15" width="7.28515625" style="7" customWidth="1"/>
    <col min="16" max="16" width="56.7109375" style="7" bestFit="1" customWidth="1"/>
    <col min="17" max="18" width="6.28515625" style="7" customWidth="1"/>
    <col min="19" max="19" width="13.42578125" style="7" bestFit="1" customWidth="1"/>
    <col min="20" max="22" width="14" style="7" customWidth="1"/>
    <col min="23" max="16384" width="10.7109375" style="7"/>
  </cols>
  <sheetData>
    <row r="1" spans="2:22" ht="18.75">
      <c r="B1" s="1" t="s">
        <v>0</v>
      </c>
      <c r="C1" s="1"/>
      <c r="D1" s="1"/>
      <c r="E1" s="1"/>
      <c r="F1" s="1"/>
      <c r="G1" s="1"/>
      <c r="H1" s="1"/>
      <c r="I1" s="1"/>
      <c r="J1" s="2" t="s">
        <v>1</v>
      </c>
      <c r="K1" s="3"/>
      <c r="L1" s="4" t="s">
        <v>2</v>
      </c>
      <c r="M1" s="4"/>
      <c r="N1" s="5"/>
      <c r="O1" s="1" t="s">
        <v>3</v>
      </c>
      <c r="P1" s="1"/>
      <c r="Q1" s="1"/>
      <c r="R1" s="1"/>
      <c r="S1" s="1"/>
      <c r="T1" s="1"/>
      <c r="U1" s="1"/>
      <c r="V1" s="6" t="str">
        <f>LEFT($B$1,4)</f>
        <v>WS12</v>
      </c>
    </row>
    <row r="2" spans="2:22" ht="14.1" customHeight="1" thickBot="1">
      <c r="B2" s="8"/>
      <c r="C2" s="8"/>
      <c r="D2" s="8"/>
      <c r="E2" s="8"/>
      <c r="F2" s="8"/>
      <c r="G2" s="8"/>
      <c r="H2" s="8"/>
      <c r="I2" s="8"/>
      <c r="J2" s="8"/>
      <c r="K2" s="8"/>
      <c r="L2" s="8"/>
      <c r="M2" s="8"/>
      <c r="N2" s="9"/>
      <c r="O2" s="8"/>
      <c r="P2" s="8"/>
      <c r="Q2" s="8"/>
      <c r="R2" s="8"/>
      <c r="S2" s="8"/>
      <c r="T2" s="8"/>
      <c r="U2" s="8"/>
      <c r="V2" s="8"/>
    </row>
    <row r="3" spans="2:22" ht="39" thickBot="1">
      <c r="B3" s="228" t="s">
        <v>4</v>
      </c>
      <c r="C3" s="229"/>
      <c r="D3" s="10" t="s">
        <v>5</v>
      </c>
      <c r="E3" s="11" t="s">
        <v>6</v>
      </c>
      <c r="F3" s="12" t="s">
        <v>7</v>
      </c>
      <c r="G3" s="13" t="s">
        <v>8</v>
      </c>
      <c r="H3" s="14" t="s">
        <v>9</v>
      </c>
      <c r="I3" s="10" t="s">
        <v>10</v>
      </c>
      <c r="J3" s="15" t="s">
        <v>11</v>
      </c>
      <c r="K3" s="8"/>
      <c r="L3" s="16" t="s">
        <v>12</v>
      </c>
      <c r="M3" s="15" t="s">
        <v>13</v>
      </c>
      <c r="N3" s="17"/>
      <c r="O3" s="228" t="s">
        <v>4</v>
      </c>
      <c r="P3" s="229"/>
      <c r="Q3" s="11" t="s">
        <v>6</v>
      </c>
      <c r="R3" s="12" t="s">
        <v>7</v>
      </c>
      <c r="S3" s="13" t="s">
        <v>8</v>
      </c>
      <c r="T3" s="14" t="s">
        <v>9</v>
      </c>
      <c r="U3" s="10" t="s">
        <v>10</v>
      </c>
      <c r="V3" s="15" t="s">
        <v>11</v>
      </c>
    </row>
    <row r="4" spans="2:22" ht="14.1" customHeight="1" thickBot="1">
      <c r="B4" s="8"/>
      <c r="C4" s="8"/>
      <c r="D4" s="8"/>
      <c r="E4" s="8"/>
      <c r="F4" s="8"/>
      <c r="G4" s="8"/>
      <c r="H4" s="8"/>
      <c r="I4" s="8"/>
      <c r="J4" s="8"/>
      <c r="K4" s="8"/>
      <c r="L4" s="8"/>
      <c r="M4" s="8"/>
      <c r="N4" s="9"/>
      <c r="O4" s="8"/>
      <c r="P4" s="8"/>
      <c r="Q4" s="8"/>
      <c r="R4" s="8"/>
      <c r="S4" s="8"/>
      <c r="T4" s="8"/>
      <c r="U4" s="8"/>
      <c r="V4" s="8"/>
    </row>
    <row r="5" spans="2:22" ht="15" thickBot="1">
      <c r="B5" s="18" t="s">
        <v>14</v>
      </c>
      <c r="C5" s="19" t="s">
        <v>15</v>
      </c>
      <c r="D5" s="8"/>
      <c r="E5" s="8"/>
      <c r="F5" s="8"/>
      <c r="G5" s="8"/>
      <c r="H5" s="8"/>
      <c r="I5" s="8"/>
      <c r="J5" s="8"/>
      <c r="K5" s="8"/>
      <c r="L5" s="8"/>
      <c r="M5" s="8"/>
      <c r="N5" s="9"/>
      <c r="O5" s="18" t="s">
        <v>14</v>
      </c>
      <c r="P5" s="19" t="s">
        <v>15</v>
      </c>
      <c r="Q5" s="8"/>
      <c r="R5" s="8"/>
      <c r="S5" s="8"/>
      <c r="T5" s="8"/>
      <c r="U5" s="8"/>
      <c r="V5" s="8"/>
    </row>
    <row r="6" spans="2:22">
      <c r="B6" s="20">
        <v>1</v>
      </c>
      <c r="C6" s="21" t="s">
        <v>16</v>
      </c>
      <c r="D6" s="22" t="s">
        <v>17</v>
      </c>
      <c r="E6" s="23" t="s">
        <v>18</v>
      </c>
      <c r="F6" s="24">
        <v>3</v>
      </c>
      <c r="G6" s="25" t="s">
        <v>19</v>
      </c>
      <c r="H6" s="26">
        <v>11.609</v>
      </c>
      <c r="I6" s="27">
        <f>J6-H6</f>
        <v>1125.0120000000002</v>
      </c>
      <c r="J6" s="28">
        <v>1136.6210000000001</v>
      </c>
      <c r="K6" s="8"/>
      <c r="L6" s="29" t="s">
        <v>20</v>
      </c>
      <c r="M6" s="30"/>
      <c r="N6" s="31"/>
      <c r="O6" s="20">
        <v>1</v>
      </c>
      <c r="P6" s="21" t="s">
        <v>16</v>
      </c>
      <c r="Q6" s="23" t="s">
        <v>18</v>
      </c>
      <c r="R6" s="24">
        <v>3</v>
      </c>
      <c r="S6" s="25" t="s">
        <v>19</v>
      </c>
      <c r="T6" s="32" t="s">
        <v>21</v>
      </c>
      <c r="U6" s="33" t="s">
        <v>22</v>
      </c>
      <c r="V6" s="34" t="s">
        <v>23</v>
      </c>
    </row>
    <row r="7" spans="2:22">
      <c r="B7" s="35">
        <v>2</v>
      </c>
      <c r="C7" s="36" t="s">
        <v>24</v>
      </c>
      <c r="D7" s="37" t="s">
        <v>25</v>
      </c>
      <c r="E7" s="38" t="s">
        <v>18</v>
      </c>
      <c r="F7" s="39">
        <v>3</v>
      </c>
      <c r="G7" s="40" t="s">
        <v>26</v>
      </c>
      <c r="H7" s="41">
        <f>+Sheet1!O33</f>
        <v>-3.1000000000000028E-2</v>
      </c>
      <c r="I7" s="42">
        <f>+Sheet1!P33</f>
        <v>-0.65300000000000047</v>
      </c>
      <c r="J7" s="43">
        <f t="shared" ref="J7:J12" si="0">SUM(H7:I7)</f>
        <v>-0.6840000000000005</v>
      </c>
      <c r="K7" s="8"/>
      <c r="L7" s="172" t="s">
        <v>165</v>
      </c>
      <c r="M7" s="45"/>
      <c r="N7" s="31"/>
      <c r="O7" s="35">
        <v>2</v>
      </c>
      <c r="P7" s="36" t="s">
        <v>24</v>
      </c>
      <c r="Q7" s="38" t="s">
        <v>18</v>
      </c>
      <c r="R7" s="39">
        <v>3</v>
      </c>
      <c r="S7" s="40" t="s">
        <v>26</v>
      </c>
      <c r="T7" s="46" t="s">
        <v>27</v>
      </c>
      <c r="U7" s="47" t="s">
        <v>28</v>
      </c>
      <c r="V7" s="48" t="s">
        <v>29</v>
      </c>
    </row>
    <row r="8" spans="2:22">
      <c r="B8" s="35">
        <v>3</v>
      </c>
      <c r="C8" s="36" t="s">
        <v>30</v>
      </c>
      <c r="D8" s="37" t="s">
        <v>31</v>
      </c>
      <c r="E8" s="49" t="s">
        <v>18</v>
      </c>
      <c r="F8" s="50">
        <v>3</v>
      </c>
      <c r="G8" s="51" t="s">
        <v>26</v>
      </c>
      <c r="H8" s="52">
        <f>+Sheet1!O34</f>
        <v>21.455999999999996</v>
      </c>
      <c r="I8" s="53">
        <f>+Sheet1!P34</f>
        <v>-23.206</v>
      </c>
      <c r="J8" s="54">
        <f t="shared" si="0"/>
        <v>-1.7500000000000036</v>
      </c>
      <c r="K8" s="8"/>
      <c r="L8" s="172" t="s">
        <v>169</v>
      </c>
      <c r="M8" s="45"/>
      <c r="N8" s="31"/>
      <c r="O8" s="35">
        <v>3</v>
      </c>
      <c r="P8" s="36" t="s">
        <v>30</v>
      </c>
      <c r="Q8" s="49" t="s">
        <v>18</v>
      </c>
      <c r="R8" s="50">
        <v>3</v>
      </c>
      <c r="S8" s="51" t="s">
        <v>26</v>
      </c>
      <c r="T8" s="55" t="s">
        <v>32</v>
      </c>
      <c r="U8" s="56" t="s">
        <v>33</v>
      </c>
      <c r="V8" s="57" t="s">
        <v>34</v>
      </c>
    </row>
    <row r="9" spans="2:22">
      <c r="B9" s="35">
        <v>4</v>
      </c>
      <c r="C9" s="36" t="s">
        <v>35</v>
      </c>
      <c r="D9" s="37" t="s">
        <v>36</v>
      </c>
      <c r="E9" s="49" t="s">
        <v>18</v>
      </c>
      <c r="F9" s="50">
        <v>3</v>
      </c>
      <c r="G9" s="51" t="s">
        <v>26</v>
      </c>
      <c r="H9" s="52">
        <f>+Sheet1!O35</f>
        <v>2.3969999999999971</v>
      </c>
      <c r="I9" s="53">
        <f>+Sheet1!P35</f>
        <v>93.403999999999897</v>
      </c>
      <c r="J9" s="54">
        <f t="shared" si="0"/>
        <v>95.800999999999888</v>
      </c>
      <c r="K9" s="8"/>
      <c r="L9" s="172" t="s">
        <v>166</v>
      </c>
      <c r="M9" s="45"/>
      <c r="N9" s="31"/>
      <c r="O9" s="35">
        <v>4</v>
      </c>
      <c r="P9" s="36" t="s">
        <v>35</v>
      </c>
      <c r="Q9" s="49" t="s">
        <v>18</v>
      </c>
      <c r="R9" s="50">
        <v>3</v>
      </c>
      <c r="S9" s="51" t="s">
        <v>26</v>
      </c>
      <c r="T9" s="55" t="s">
        <v>37</v>
      </c>
      <c r="U9" s="56" t="s">
        <v>38</v>
      </c>
      <c r="V9" s="57" t="s">
        <v>39</v>
      </c>
    </row>
    <row r="10" spans="2:22">
      <c r="B10" s="35">
        <v>5</v>
      </c>
      <c r="C10" s="36" t="s">
        <v>40</v>
      </c>
      <c r="D10" s="49"/>
      <c r="E10" s="49" t="s">
        <v>18</v>
      </c>
      <c r="F10" s="50">
        <v>3</v>
      </c>
      <c r="G10" s="51" t="s">
        <v>26</v>
      </c>
      <c r="H10" s="52">
        <f>+Sheet1!O36</f>
        <v>0.42300000000000004</v>
      </c>
      <c r="I10" s="53">
        <f>+Sheet1!P36</f>
        <v>18.283000000000001</v>
      </c>
      <c r="J10" s="54">
        <f t="shared" si="0"/>
        <v>18.706000000000003</v>
      </c>
      <c r="K10" s="8"/>
      <c r="L10" s="172" t="s">
        <v>164</v>
      </c>
      <c r="M10" s="45"/>
      <c r="N10" s="9"/>
      <c r="O10" s="35">
        <v>5</v>
      </c>
      <c r="P10" s="36" t="s">
        <v>40</v>
      </c>
      <c r="Q10" s="49" t="s">
        <v>18</v>
      </c>
      <c r="R10" s="50">
        <v>3</v>
      </c>
      <c r="S10" s="51" t="s">
        <v>26</v>
      </c>
      <c r="T10" s="55" t="s">
        <v>41</v>
      </c>
      <c r="U10" s="56" t="s">
        <v>42</v>
      </c>
      <c r="V10" s="57" t="s">
        <v>43</v>
      </c>
    </row>
    <row r="11" spans="2:22">
      <c r="B11" s="35">
        <v>6</v>
      </c>
      <c r="C11" s="36" t="s">
        <v>44</v>
      </c>
      <c r="D11" s="49"/>
      <c r="E11" s="49" t="s">
        <v>18</v>
      </c>
      <c r="F11" s="50">
        <v>3</v>
      </c>
      <c r="G11" s="51" t="s">
        <v>26</v>
      </c>
      <c r="H11" s="52">
        <f>+Sheet1!O37</f>
        <v>-0.871</v>
      </c>
      <c r="I11" s="53">
        <f>+Sheet1!P37</f>
        <v>-10.584</v>
      </c>
      <c r="J11" s="54">
        <f t="shared" si="0"/>
        <v>-11.455</v>
      </c>
      <c r="K11" s="8"/>
      <c r="L11" s="172" t="s">
        <v>167</v>
      </c>
      <c r="M11" s="45"/>
      <c r="N11" s="9"/>
      <c r="O11" s="35">
        <v>6</v>
      </c>
      <c r="P11" s="36" t="s">
        <v>44</v>
      </c>
      <c r="Q11" s="49" t="s">
        <v>18</v>
      </c>
      <c r="R11" s="50">
        <v>3</v>
      </c>
      <c r="S11" s="51" t="s">
        <v>26</v>
      </c>
      <c r="T11" s="55" t="s">
        <v>45</v>
      </c>
      <c r="U11" s="56" t="s">
        <v>46</v>
      </c>
      <c r="V11" s="57" t="s">
        <v>47</v>
      </c>
    </row>
    <row r="12" spans="2:22">
      <c r="B12" s="35">
        <v>7</v>
      </c>
      <c r="C12" s="36" t="s">
        <v>48</v>
      </c>
      <c r="D12" s="38"/>
      <c r="E12" s="38" t="s">
        <v>18</v>
      </c>
      <c r="F12" s="39">
        <v>3</v>
      </c>
      <c r="G12" s="58" t="s">
        <v>26</v>
      </c>
      <c r="H12" s="41">
        <v>0</v>
      </c>
      <c r="I12" s="42">
        <v>0</v>
      </c>
      <c r="J12" s="43">
        <f t="shared" si="0"/>
        <v>0</v>
      </c>
      <c r="K12" s="8"/>
      <c r="L12" s="172"/>
      <c r="M12" s="45"/>
      <c r="N12" s="31"/>
      <c r="O12" s="35">
        <v>7</v>
      </c>
      <c r="P12" s="36" t="s">
        <v>48</v>
      </c>
      <c r="Q12" s="38" t="s">
        <v>18</v>
      </c>
      <c r="R12" s="39">
        <v>3</v>
      </c>
      <c r="S12" s="58" t="s">
        <v>26</v>
      </c>
      <c r="T12" s="46" t="s">
        <v>49</v>
      </c>
      <c r="U12" s="47" t="s">
        <v>50</v>
      </c>
      <c r="V12" s="48" t="s">
        <v>51</v>
      </c>
    </row>
    <row r="13" spans="2:22" ht="15" thickBot="1">
      <c r="B13" s="59">
        <v>8</v>
      </c>
      <c r="C13" s="60" t="s">
        <v>52</v>
      </c>
      <c r="D13" s="61"/>
      <c r="E13" s="61" t="s">
        <v>18</v>
      </c>
      <c r="F13" s="62">
        <v>3</v>
      </c>
      <c r="G13" s="63" t="s">
        <v>26</v>
      </c>
      <c r="H13" s="64">
        <f>SUM(H6:H12)</f>
        <v>34.98299999999999</v>
      </c>
      <c r="I13" s="65">
        <f>SUM(I6:I12)</f>
        <v>1202.2560000000001</v>
      </c>
      <c r="J13" s="66">
        <f>SUM(H13:I13)</f>
        <v>1237.239</v>
      </c>
      <c r="K13" s="8"/>
      <c r="L13" s="173" t="s">
        <v>168</v>
      </c>
      <c r="M13" s="68"/>
      <c r="N13" s="31"/>
      <c r="O13" s="59">
        <v>8</v>
      </c>
      <c r="P13" s="60" t="s">
        <v>52</v>
      </c>
      <c r="Q13" s="61" t="s">
        <v>18</v>
      </c>
      <c r="R13" s="62">
        <v>3</v>
      </c>
      <c r="S13" s="63" t="s">
        <v>26</v>
      </c>
      <c r="T13" s="69" t="s">
        <v>53</v>
      </c>
      <c r="U13" s="70" t="s">
        <v>54</v>
      </c>
      <c r="V13" s="71" t="s">
        <v>55</v>
      </c>
    </row>
    <row r="14" spans="2:22" ht="14.1" customHeight="1" thickBot="1">
      <c r="B14" s="8"/>
      <c r="C14" s="8"/>
      <c r="D14" s="8"/>
      <c r="E14" s="8"/>
      <c r="F14" s="8"/>
      <c r="G14" s="8"/>
      <c r="H14" s="8"/>
      <c r="I14" s="8"/>
      <c r="J14" s="8"/>
      <c r="K14" s="8"/>
      <c r="L14" s="72"/>
      <c r="M14" s="72"/>
      <c r="N14" s="31"/>
      <c r="O14" s="8"/>
      <c r="P14" s="8"/>
      <c r="Q14" s="8"/>
      <c r="R14" s="8"/>
      <c r="S14" s="8"/>
      <c r="T14" s="73"/>
      <c r="U14" s="73"/>
      <c r="V14" s="73"/>
    </row>
    <row r="15" spans="2:22" ht="15" thickBot="1">
      <c r="B15" s="18" t="s">
        <v>56</v>
      </c>
      <c r="C15" s="19" t="s">
        <v>57</v>
      </c>
      <c r="D15" s="8"/>
      <c r="E15" s="8"/>
      <c r="F15" s="8"/>
      <c r="G15" s="8"/>
      <c r="H15" s="8"/>
      <c r="I15" s="8"/>
      <c r="J15" s="8"/>
      <c r="K15" s="8"/>
      <c r="L15" s="72"/>
      <c r="M15" s="72"/>
      <c r="N15" s="31"/>
      <c r="O15" s="18" t="s">
        <v>56</v>
      </c>
      <c r="P15" s="19" t="s">
        <v>57</v>
      </c>
      <c r="Q15" s="8"/>
      <c r="R15" s="8"/>
      <c r="S15" s="8"/>
      <c r="T15" s="73"/>
      <c r="U15" s="73"/>
      <c r="V15" s="73"/>
    </row>
    <row r="16" spans="2:22">
      <c r="B16" s="20">
        <v>9</v>
      </c>
      <c r="C16" s="21" t="s">
        <v>58</v>
      </c>
      <c r="D16" s="23"/>
      <c r="E16" s="23" t="s">
        <v>18</v>
      </c>
      <c r="F16" s="24">
        <v>3</v>
      </c>
      <c r="G16" s="74" t="s">
        <v>26</v>
      </c>
      <c r="H16" s="75">
        <f>+Sheet1!K19</f>
        <v>0.21299999999999999</v>
      </c>
      <c r="I16" s="76">
        <f>+Sheet1!N19</f>
        <v>7.4180000000000001</v>
      </c>
      <c r="J16" s="77">
        <f t="shared" ref="J16:J22" si="1">SUM(H16:I16)</f>
        <v>7.6310000000000002</v>
      </c>
      <c r="K16" s="8"/>
      <c r="L16" s="78"/>
      <c r="M16" s="79"/>
      <c r="N16" s="31"/>
      <c r="O16" s="20">
        <v>9</v>
      </c>
      <c r="P16" s="21" t="s">
        <v>58</v>
      </c>
      <c r="Q16" s="23" t="s">
        <v>18</v>
      </c>
      <c r="R16" s="24">
        <v>3</v>
      </c>
      <c r="S16" s="74" t="s">
        <v>26</v>
      </c>
      <c r="T16" s="32" t="s">
        <v>59</v>
      </c>
      <c r="U16" s="33" t="s">
        <v>60</v>
      </c>
      <c r="V16" s="34" t="s">
        <v>61</v>
      </c>
    </row>
    <row r="17" spans="2:22">
      <c r="B17" s="20">
        <v>10</v>
      </c>
      <c r="C17" s="21" t="s">
        <v>62</v>
      </c>
      <c r="D17" s="49"/>
      <c r="E17" s="49" t="s">
        <v>18</v>
      </c>
      <c r="F17" s="50">
        <v>3</v>
      </c>
      <c r="G17" s="51" t="s">
        <v>26</v>
      </c>
      <c r="H17" s="52">
        <f>+Sheet1!K27</f>
        <v>-0.88462882574051727</v>
      </c>
      <c r="I17" s="53">
        <f>+Sheet1!N27</f>
        <v>-5.4101982271891949</v>
      </c>
      <c r="J17" s="54">
        <f t="shared" si="1"/>
        <v>-6.2948270529297119</v>
      </c>
      <c r="K17" s="8"/>
      <c r="L17" s="80"/>
      <c r="M17" s="81"/>
      <c r="N17" s="31"/>
      <c r="O17" s="20">
        <v>10</v>
      </c>
      <c r="P17" s="21" t="s">
        <v>62</v>
      </c>
      <c r="Q17" s="49" t="s">
        <v>18</v>
      </c>
      <c r="R17" s="50">
        <v>3</v>
      </c>
      <c r="S17" s="51" t="s">
        <v>26</v>
      </c>
      <c r="T17" s="55" t="s">
        <v>63</v>
      </c>
      <c r="U17" s="56" t="s">
        <v>64</v>
      </c>
      <c r="V17" s="57" t="s">
        <v>65</v>
      </c>
    </row>
    <row r="18" spans="2:22">
      <c r="B18" s="20">
        <v>11</v>
      </c>
      <c r="C18" s="21" t="s">
        <v>66</v>
      </c>
      <c r="D18" s="49"/>
      <c r="E18" s="49" t="s">
        <v>18</v>
      </c>
      <c r="F18" s="50">
        <v>3</v>
      </c>
      <c r="G18" s="51" t="s">
        <v>26</v>
      </c>
      <c r="H18" s="52">
        <f>+Sheet1!Q19</f>
        <v>0.65922330097087389</v>
      </c>
      <c r="I18" s="53">
        <f>+Sheet1!R19</f>
        <v>11.608737864077671</v>
      </c>
      <c r="J18" s="54">
        <f t="shared" si="1"/>
        <v>12.267961165048545</v>
      </c>
      <c r="K18" s="8"/>
      <c r="L18" s="80"/>
      <c r="M18" s="81"/>
      <c r="N18" s="82"/>
      <c r="O18" s="20">
        <v>11</v>
      </c>
      <c r="P18" s="21" t="s">
        <v>66</v>
      </c>
      <c r="Q18" s="49" t="s">
        <v>18</v>
      </c>
      <c r="R18" s="50">
        <v>3</v>
      </c>
      <c r="S18" s="51" t="s">
        <v>26</v>
      </c>
      <c r="T18" s="55" t="s">
        <v>67</v>
      </c>
      <c r="U18" s="56" t="s">
        <v>68</v>
      </c>
      <c r="V18" s="57" t="s">
        <v>69</v>
      </c>
    </row>
    <row r="19" spans="2:22">
      <c r="B19" s="20">
        <v>12</v>
      </c>
      <c r="C19" s="21" t="s">
        <v>70</v>
      </c>
      <c r="D19" s="49"/>
      <c r="E19" s="49" t="s">
        <v>18</v>
      </c>
      <c r="F19" s="50">
        <v>3</v>
      </c>
      <c r="G19" s="51" t="s">
        <v>26</v>
      </c>
      <c r="H19" s="52">
        <f>+Sheet1!Q27</f>
        <v>-0.91919452083270137</v>
      </c>
      <c r="I19" s="53">
        <f>+Sheet1!R27</f>
        <v>-5.6309512902667977</v>
      </c>
      <c r="J19" s="54">
        <f t="shared" si="1"/>
        <v>-6.5501458110994992</v>
      </c>
      <c r="K19" s="8"/>
      <c r="L19" s="80"/>
      <c r="M19" s="81"/>
      <c r="N19" s="9"/>
      <c r="O19" s="20">
        <v>12</v>
      </c>
      <c r="P19" s="21" t="s">
        <v>70</v>
      </c>
      <c r="Q19" s="49" t="s">
        <v>18</v>
      </c>
      <c r="R19" s="50">
        <v>3</v>
      </c>
      <c r="S19" s="51" t="s">
        <v>26</v>
      </c>
      <c r="T19" s="55" t="s">
        <v>71</v>
      </c>
      <c r="U19" s="56" t="s">
        <v>72</v>
      </c>
      <c r="V19" s="57" t="s">
        <v>73</v>
      </c>
    </row>
    <row r="20" spans="2:22">
      <c r="B20" s="20">
        <v>13</v>
      </c>
      <c r="C20" s="21" t="s">
        <v>74</v>
      </c>
      <c r="D20" s="49"/>
      <c r="E20" s="49" t="s">
        <v>18</v>
      </c>
      <c r="F20" s="50">
        <v>3</v>
      </c>
      <c r="G20" s="51" t="s">
        <v>26</v>
      </c>
      <c r="H20" s="52">
        <f>+Sheet1!S19</f>
        <v>0.34027712319728526</v>
      </c>
      <c r="I20" s="53">
        <f>+Sheet1!T19</f>
        <v>7.6680177208030909</v>
      </c>
      <c r="J20" s="54">
        <f t="shared" si="1"/>
        <v>8.0082948440003765</v>
      </c>
      <c r="K20" s="8"/>
      <c r="L20" s="44"/>
      <c r="M20" s="45"/>
      <c r="N20" s="9"/>
      <c r="O20" s="20">
        <v>13</v>
      </c>
      <c r="P20" s="21" t="s">
        <v>74</v>
      </c>
      <c r="Q20" s="49" t="s">
        <v>18</v>
      </c>
      <c r="R20" s="50">
        <v>3</v>
      </c>
      <c r="S20" s="51" t="s">
        <v>26</v>
      </c>
      <c r="T20" s="55" t="s">
        <v>75</v>
      </c>
      <c r="U20" s="56" t="s">
        <v>76</v>
      </c>
      <c r="V20" s="57" t="s">
        <v>77</v>
      </c>
    </row>
    <row r="21" spans="2:22">
      <c r="B21" s="20">
        <v>14</v>
      </c>
      <c r="C21" s="21" t="s">
        <v>78</v>
      </c>
      <c r="D21" s="49"/>
      <c r="E21" s="49" t="s">
        <v>18</v>
      </c>
      <c r="F21" s="50">
        <v>3</v>
      </c>
      <c r="G21" s="51" t="s">
        <v>26</v>
      </c>
      <c r="H21" s="52">
        <f>+Sheet1!S27</f>
        <v>-0.93034773166213602</v>
      </c>
      <c r="I21" s="53">
        <f>+Sheet1!T27</f>
        <v>-5.6800843971062838</v>
      </c>
      <c r="J21" s="54">
        <f t="shared" si="1"/>
        <v>-6.6104321287684193</v>
      </c>
      <c r="K21" s="8"/>
      <c r="L21" s="44"/>
      <c r="M21" s="45"/>
      <c r="N21" s="31"/>
      <c r="O21" s="20">
        <v>14</v>
      </c>
      <c r="P21" s="21" t="s">
        <v>78</v>
      </c>
      <c r="Q21" s="49" t="s">
        <v>18</v>
      </c>
      <c r="R21" s="50">
        <v>3</v>
      </c>
      <c r="S21" s="51" t="s">
        <v>26</v>
      </c>
      <c r="T21" s="55" t="s">
        <v>79</v>
      </c>
      <c r="U21" s="56" t="s">
        <v>80</v>
      </c>
      <c r="V21" s="57" t="s">
        <v>81</v>
      </c>
    </row>
    <row r="22" spans="2:22">
      <c r="B22" s="20">
        <v>15</v>
      </c>
      <c r="C22" s="36" t="s">
        <v>82</v>
      </c>
      <c r="D22" s="83"/>
      <c r="E22" s="49" t="s">
        <v>18</v>
      </c>
      <c r="F22" s="50">
        <v>3</v>
      </c>
      <c r="G22" s="84" t="s">
        <v>26</v>
      </c>
      <c r="H22" s="85">
        <v>0</v>
      </c>
      <c r="I22" s="86">
        <v>0</v>
      </c>
      <c r="J22" s="54">
        <f t="shared" si="1"/>
        <v>0</v>
      </c>
      <c r="K22" s="8"/>
      <c r="L22" s="44"/>
      <c r="M22" s="45"/>
      <c r="N22" s="31"/>
      <c r="O22" s="20">
        <v>15</v>
      </c>
      <c r="P22" s="36" t="s">
        <v>82</v>
      </c>
      <c r="Q22" s="49" t="s">
        <v>18</v>
      </c>
      <c r="R22" s="50">
        <v>3</v>
      </c>
      <c r="S22" s="84" t="s">
        <v>26</v>
      </c>
      <c r="T22" s="87" t="s">
        <v>83</v>
      </c>
      <c r="U22" s="88" t="s">
        <v>84</v>
      </c>
      <c r="V22" s="57" t="s">
        <v>85</v>
      </c>
    </row>
    <row r="23" spans="2:22">
      <c r="B23" s="20">
        <v>16</v>
      </c>
      <c r="C23" s="36" t="s">
        <v>86</v>
      </c>
      <c r="D23" s="49"/>
      <c r="E23" s="49" t="s">
        <v>18</v>
      </c>
      <c r="F23" s="50">
        <v>3</v>
      </c>
      <c r="G23" s="51" t="s">
        <v>26</v>
      </c>
      <c r="H23" s="89">
        <f>H13+SUM(H16:H22)</f>
        <v>33.461329345932796</v>
      </c>
      <c r="I23" s="90">
        <f>I13+SUM(I16:I22)</f>
        <v>1212.2295216703185</v>
      </c>
      <c r="J23" s="54">
        <f>SUM(H23:I23)</f>
        <v>1245.6908510162514</v>
      </c>
      <c r="K23" s="8"/>
      <c r="L23" s="80"/>
      <c r="M23" s="81"/>
      <c r="N23" s="31"/>
      <c r="O23" s="20">
        <v>16</v>
      </c>
      <c r="P23" s="36" t="s">
        <v>86</v>
      </c>
      <c r="Q23" s="49" t="s">
        <v>18</v>
      </c>
      <c r="R23" s="50">
        <v>3</v>
      </c>
      <c r="S23" s="51" t="s">
        <v>26</v>
      </c>
      <c r="T23" s="55" t="s">
        <v>87</v>
      </c>
      <c r="U23" s="56" t="s">
        <v>88</v>
      </c>
      <c r="V23" s="57" t="s">
        <v>89</v>
      </c>
    </row>
    <row r="24" spans="2:22" ht="15" thickBot="1">
      <c r="B24" s="59">
        <v>17</v>
      </c>
      <c r="C24" s="60" t="s">
        <v>90</v>
      </c>
      <c r="D24" s="61"/>
      <c r="E24" s="61" t="s">
        <v>91</v>
      </c>
      <c r="F24" s="62">
        <v>2</v>
      </c>
      <c r="G24" s="63" t="s">
        <v>92</v>
      </c>
      <c r="H24" s="91">
        <f>H23/J23</f>
        <v>2.6861664207162309E-2</v>
      </c>
      <c r="I24" s="92">
        <f>I23/J23</f>
        <v>0.97313833579283759</v>
      </c>
      <c r="J24" s="93">
        <f>SUM(H24:I24)</f>
        <v>0.99999999999999989</v>
      </c>
      <c r="K24" s="8"/>
      <c r="L24" s="67"/>
      <c r="M24" s="68"/>
      <c r="N24" s="31"/>
      <c r="O24" s="59">
        <v>17</v>
      </c>
      <c r="P24" s="60" t="s">
        <v>90</v>
      </c>
      <c r="Q24" s="61" t="s">
        <v>91</v>
      </c>
      <c r="R24" s="62">
        <v>2</v>
      </c>
      <c r="S24" s="63" t="s">
        <v>92</v>
      </c>
      <c r="T24" s="94" t="s">
        <v>93</v>
      </c>
      <c r="U24" s="95" t="s">
        <v>94</v>
      </c>
      <c r="V24" s="96" t="s">
        <v>95</v>
      </c>
    </row>
    <row r="25" spans="2:22" ht="14.1" customHeight="1" thickBot="1">
      <c r="B25" s="8"/>
      <c r="C25" s="8"/>
      <c r="D25" s="8"/>
      <c r="E25" s="8"/>
      <c r="F25" s="8"/>
      <c r="G25" s="8"/>
      <c r="H25" s="8"/>
      <c r="I25" s="8"/>
      <c r="J25" s="8"/>
      <c r="K25" s="8"/>
      <c r="L25" s="72"/>
      <c r="M25" s="72"/>
      <c r="N25" s="9"/>
      <c r="O25" s="8"/>
      <c r="P25" s="8"/>
      <c r="Q25" s="8"/>
      <c r="R25" s="8"/>
      <c r="S25" s="8"/>
      <c r="T25" s="8"/>
      <c r="U25" s="8"/>
      <c r="V25" s="8"/>
    </row>
    <row r="26" spans="2:22" ht="15" thickBot="1">
      <c r="B26" s="97" t="s">
        <v>96</v>
      </c>
      <c r="C26" s="98" t="s">
        <v>97</v>
      </c>
      <c r="D26" s="8"/>
      <c r="E26" s="8"/>
      <c r="F26" s="8"/>
      <c r="G26" s="8"/>
      <c r="H26" s="8"/>
      <c r="I26" s="8"/>
      <c r="J26" s="8"/>
      <c r="K26" s="8"/>
      <c r="L26" s="72"/>
      <c r="M26" s="72"/>
      <c r="N26" s="9"/>
      <c r="O26" s="97" t="s">
        <v>96</v>
      </c>
      <c r="P26" s="98" t="s">
        <v>97</v>
      </c>
      <c r="Q26" s="8"/>
      <c r="R26" s="8"/>
      <c r="S26" s="8"/>
      <c r="T26" s="8"/>
      <c r="U26" s="8"/>
      <c r="V26" s="8"/>
    </row>
    <row r="27" spans="2:22">
      <c r="B27" s="99">
        <v>18</v>
      </c>
      <c r="C27" s="100" t="s">
        <v>98</v>
      </c>
      <c r="D27" s="23"/>
      <c r="E27" s="23" t="s">
        <v>18</v>
      </c>
      <c r="F27" s="24">
        <v>3</v>
      </c>
      <c r="G27" s="101" t="s">
        <v>26</v>
      </c>
      <c r="H27" s="102">
        <f>142.5/Sheet1!$B$7*Sheet1!$B$8*H24</f>
        <v>3.9617596997538511</v>
      </c>
      <c r="I27" s="102">
        <f>142.5/Sheet1!$B$7*Sheet1!$B$8*I24</f>
        <v>143.52574030024616</v>
      </c>
      <c r="J27" s="77">
        <f>SUM(H27:I27)</f>
        <v>147.48750000000001</v>
      </c>
      <c r="K27" s="8"/>
      <c r="L27" s="78" t="s">
        <v>160</v>
      </c>
      <c r="M27" s="79"/>
      <c r="N27" s="31"/>
      <c r="O27" s="99">
        <v>18</v>
      </c>
      <c r="P27" s="100" t="s">
        <v>98</v>
      </c>
      <c r="Q27" s="23" t="s">
        <v>18</v>
      </c>
      <c r="R27" s="24">
        <v>3</v>
      </c>
      <c r="S27" s="101" t="s">
        <v>26</v>
      </c>
      <c r="T27" s="103" t="s">
        <v>99</v>
      </c>
      <c r="U27" s="104" t="s">
        <v>100</v>
      </c>
      <c r="V27" s="34" t="s">
        <v>101</v>
      </c>
    </row>
    <row r="28" spans="2:22" ht="15" thickBot="1">
      <c r="B28" s="59">
        <v>19</v>
      </c>
      <c r="C28" s="60" t="s">
        <v>102</v>
      </c>
      <c r="D28" s="61"/>
      <c r="E28" s="61" t="s">
        <v>91</v>
      </c>
      <c r="F28" s="62">
        <v>2</v>
      </c>
      <c r="G28" s="63" t="s">
        <v>92</v>
      </c>
      <c r="H28" s="91">
        <f>H27/J27</f>
        <v>2.6861664207162309E-2</v>
      </c>
      <c r="I28" s="92">
        <f>I27/J27</f>
        <v>0.97313833579283771</v>
      </c>
      <c r="J28" s="93">
        <f>SUM(H28:I28)</f>
        <v>1</v>
      </c>
      <c r="K28" s="8"/>
      <c r="L28" s="67"/>
      <c r="M28" s="68"/>
      <c r="N28" s="31"/>
      <c r="O28" s="59">
        <v>19</v>
      </c>
      <c r="P28" s="60" t="s">
        <v>102</v>
      </c>
      <c r="Q28" s="61" t="s">
        <v>91</v>
      </c>
      <c r="R28" s="62">
        <v>2</v>
      </c>
      <c r="S28" s="63" t="s">
        <v>92</v>
      </c>
      <c r="T28" s="94" t="s">
        <v>103</v>
      </c>
      <c r="U28" s="95" t="s">
        <v>104</v>
      </c>
      <c r="V28" s="96" t="s">
        <v>105</v>
      </c>
    </row>
    <row r="29" spans="2:22">
      <c r="B29" s="8"/>
      <c r="C29" s="9"/>
      <c r="D29" s="8"/>
      <c r="E29" s="8"/>
      <c r="F29" s="8"/>
      <c r="G29" s="8"/>
      <c r="H29" s="8"/>
      <c r="I29" s="8"/>
      <c r="J29" s="8"/>
      <c r="K29" s="8"/>
      <c r="L29" s="8"/>
      <c r="M29" s="8"/>
      <c r="N29" s="105"/>
      <c r="O29" s="9"/>
      <c r="P29" s="9"/>
    </row>
    <row r="30" spans="2:22">
      <c r="B30" s="106" t="s">
        <v>106</v>
      </c>
      <c r="C30" s="107"/>
      <c r="D30" s="8"/>
      <c r="E30" s="8"/>
      <c r="F30" s="8"/>
      <c r="G30" s="8"/>
      <c r="H30" s="8"/>
      <c r="I30" s="8"/>
      <c r="J30" s="8"/>
      <c r="K30" s="8"/>
      <c r="L30" s="8"/>
      <c r="M30" s="105"/>
      <c r="N30" s="105"/>
      <c r="O30" s="9"/>
      <c r="P30" s="9"/>
    </row>
    <row r="31" spans="2:22">
      <c r="B31" s="108"/>
      <c r="C31" s="109" t="s">
        <v>107</v>
      </c>
      <c r="D31" s="8"/>
      <c r="E31" s="8"/>
      <c r="F31" s="8"/>
      <c r="G31" s="8"/>
      <c r="H31" s="8"/>
      <c r="I31" s="8"/>
      <c r="J31" s="8"/>
      <c r="K31" s="8"/>
      <c r="L31" s="8"/>
      <c r="M31" s="105"/>
      <c r="N31" s="105"/>
      <c r="O31" s="9"/>
      <c r="P31" s="9"/>
    </row>
    <row r="32" spans="2:22">
      <c r="B32" s="110"/>
      <c r="C32" s="109" t="s">
        <v>108</v>
      </c>
      <c r="D32" s="8"/>
      <c r="E32" s="8"/>
      <c r="F32" s="8"/>
      <c r="G32" s="8"/>
      <c r="H32" s="8"/>
      <c r="I32" s="8"/>
      <c r="J32" s="8"/>
      <c r="K32" s="8"/>
      <c r="L32" s="8"/>
      <c r="M32" s="111"/>
      <c r="N32" s="111"/>
      <c r="O32" s="9"/>
      <c r="P32" s="9"/>
    </row>
    <row r="33" spans="2:16">
      <c r="B33" s="112"/>
      <c r="C33" s="109" t="s">
        <v>109</v>
      </c>
      <c r="D33" s="8"/>
      <c r="E33" s="8"/>
      <c r="F33" s="8"/>
      <c r="G33" s="8"/>
      <c r="H33" s="8"/>
      <c r="I33" s="8"/>
      <c r="J33" s="8"/>
      <c r="K33" s="8"/>
      <c r="L33" s="8"/>
      <c r="M33" s="113"/>
      <c r="N33" s="113"/>
      <c r="O33" s="113"/>
      <c r="P33" s="9"/>
    </row>
    <row r="34" spans="2:16">
      <c r="B34" s="114"/>
      <c r="C34" s="109" t="s">
        <v>110</v>
      </c>
      <c r="D34" s="115"/>
      <c r="E34" s="115"/>
      <c r="F34" s="115"/>
      <c r="G34" s="115"/>
      <c r="H34" s="115"/>
      <c r="I34" s="115"/>
      <c r="J34" s="115"/>
      <c r="K34" s="115"/>
      <c r="L34" s="116"/>
      <c r="M34" s="111"/>
      <c r="N34" s="111"/>
      <c r="O34" s="9"/>
      <c r="P34" s="9"/>
    </row>
    <row r="35" spans="2:16" ht="14.1" customHeight="1" thickBot="1">
      <c r="B35" s="117"/>
      <c r="C35" s="109"/>
      <c r="D35" s="115"/>
      <c r="E35" s="115"/>
      <c r="F35" s="115"/>
      <c r="G35" s="115"/>
      <c r="H35" s="115"/>
      <c r="I35" s="115"/>
      <c r="J35" s="115"/>
      <c r="K35" s="115"/>
      <c r="L35" s="116"/>
      <c r="M35" s="118"/>
      <c r="N35" s="118"/>
      <c r="O35" s="118"/>
      <c r="P35" s="9"/>
    </row>
    <row r="36" spans="2:16" ht="15" thickBot="1">
      <c r="B36" s="119" t="s">
        <v>111</v>
      </c>
      <c r="C36" s="120"/>
      <c r="D36" s="121"/>
      <c r="E36" s="121"/>
      <c r="F36" s="121"/>
      <c r="G36" s="121"/>
      <c r="H36" s="121"/>
      <c r="I36" s="121"/>
      <c r="J36" s="122"/>
      <c r="K36" s="123"/>
      <c r="L36" s="116"/>
      <c r="M36" s="111"/>
      <c r="N36" s="111"/>
      <c r="O36" s="9"/>
      <c r="P36" s="9"/>
    </row>
    <row r="37" spans="2:16" ht="15" thickBot="1">
      <c r="B37" s="113"/>
      <c r="C37" s="124"/>
      <c r="D37" s="123"/>
      <c r="E37" s="123"/>
      <c r="F37" s="123"/>
      <c r="G37" s="123"/>
      <c r="H37" s="123"/>
      <c r="I37" s="123"/>
      <c r="J37" s="123"/>
      <c r="K37" s="123"/>
      <c r="L37" s="116"/>
      <c r="M37" s="125"/>
      <c r="N37" s="125"/>
      <c r="O37" s="125"/>
      <c r="P37" s="9"/>
    </row>
    <row r="38" spans="2:16" ht="30" customHeight="1" thickBot="1">
      <c r="B38" s="230" t="s">
        <v>112</v>
      </c>
      <c r="C38" s="231"/>
      <c r="D38" s="231"/>
      <c r="E38" s="231"/>
      <c r="F38" s="231"/>
      <c r="G38" s="231"/>
      <c r="H38" s="231"/>
      <c r="I38" s="231"/>
      <c r="J38" s="232"/>
      <c r="K38" s="126"/>
      <c r="L38" s="116"/>
      <c r="M38" s="127"/>
      <c r="N38" s="127"/>
      <c r="O38" s="127"/>
      <c r="P38" s="9"/>
    </row>
    <row r="39" spans="2:16" ht="15" customHeight="1" thickBot="1">
      <c r="B39" s="128"/>
      <c r="C39" s="129"/>
      <c r="D39" s="128"/>
      <c r="E39" s="128"/>
      <c r="F39" s="128"/>
      <c r="G39" s="128"/>
      <c r="H39" s="130"/>
      <c r="I39" s="130"/>
      <c r="J39" s="130"/>
      <c r="K39" s="131"/>
      <c r="L39" s="116"/>
      <c r="M39" s="127"/>
      <c r="N39" s="127"/>
      <c r="O39" s="127"/>
      <c r="P39" s="9"/>
    </row>
    <row r="40" spans="2:16" ht="15" customHeight="1">
      <c r="B40" s="132" t="s">
        <v>113</v>
      </c>
      <c r="C40" s="233" t="s">
        <v>114</v>
      </c>
      <c r="D40" s="233"/>
      <c r="E40" s="233"/>
      <c r="F40" s="233"/>
      <c r="G40" s="233"/>
      <c r="H40" s="233"/>
      <c r="I40" s="233"/>
      <c r="J40" s="234"/>
      <c r="K40" s="125"/>
      <c r="L40" s="116"/>
      <c r="M40" s="127"/>
      <c r="N40" s="127"/>
      <c r="O40" s="127"/>
      <c r="P40" s="9"/>
    </row>
    <row r="41" spans="2:16" ht="15" customHeight="1">
      <c r="B41" s="133" t="s">
        <v>115</v>
      </c>
      <c r="C41" s="134" t="str">
        <f>$C$5</f>
        <v>Water resources net MEAV</v>
      </c>
      <c r="D41" s="134"/>
      <c r="E41" s="134"/>
      <c r="F41" s="134"/>
      <c r="G41" s="134"/>
      <c r="H41" s="134"/>
      <c r="I41" s="134"/>
      <c r="J41" s="135"/>
      <c r="K41" s="125"/>
      <c r="L41" s="116"/>
      <c r="M41" s="127"/>
      <c r="N41" s="127"/>
      <c r="O41" s="127"/>
      <c r="P41" s="9"/>
    </row>
    <row r="42" spans="2:16" ht="44.1" customHeight="1">
      <c r="B42" s="136">
        <v>1</v>
      </c>
      <c r="C42" s="224" t="s">
        <v>116</v>
      </c>
      <c r="D42" s="224"/>
      <c r="E42" s="224"/>
      <c r="F42" s="224"/>
      <c r="G42" s="224"/>
      <c r="H42" s="224"/>
      <c r="I42" s="224"/>
      <c r="J42" s="225"/>
      <c r="K42" s="137"/>
      <c r="L42" s="116"/>
      <c r="M42" s="127"/>
      <c r="N42" s="127"/>
      <c r="O42" s="127"/>
      <c r="P42" s="9"/>
    </row>
    <row r="43" spans="2:16" ht="15" customHeight="1">
      <c r="B43" s="136">
        <v>2</v>
      </c>
      <c r="C43" s="224" t="s">
        <v>117</v>
      </c>
      <c r="D43" s="224"/>
      <c r="E43" s="224"/>
      <c r="F43" s="224"/>
      <c r="G43" s="224"/>
      <c r="H43" s="224"/>
      <c r="I43" s="224"/>
      <c r="J43" s="225"/>
      <c r="K43" s="137"/>
      <c r="L43" s="116"/>
      <c r="M43" s="127"/>
      <c r="N43" s="127"/>
      <c r="O43" s="127"/>
      <c r="P43" s="9"/>
    </row>
    <row r="44" spans="2:16" ht="30" customHeight="1">
      <c r="B44" s="136">
        <v>3</v>
      </c>
      <c r="C44" s="224" t="s">
        <v>118</v>
      </c>
      <c r="D44" s="224"/>
      <c r="E44" s="224"/>
      <c r="F44" s="224"/>
      <c r="G44" s="224"/>
      <c r="H44" s="224"/>
      <c r="I44" s="224"/>
      <c r="J44" s="225"/>
      <c r="K44" s="137"/>
      <c r="L44" s="116"/>
      <c r="M44" s="127"/>
      <c r="N44" s="127"/>
      <c r="O44" s="127"/>
      <c r="P44" s="9"/>
    </row>
    <row r="45" spans="2:16" ht="15" customHeight="1">
      <c r="B45" s="136">
        <v>4</v>
      </c>
      <c r="C45" s="224" t="s">
        <v>119</v>
      </c>
      <c r="D45" s="224"/>
      <c r="E45" s="224"/>
      <c r="F45" s="224"/>
      <c r="G45" s="224"/>
      <c r="H45" s="224"/>
      <c r="I45" s="224"/>
      <c r="J45" s="225"/>
      <c r="K45" s="137"/>
      <c r="L45" s="116"/>
      <c r="M45" s="127"/>
      <c r="N45" s="127"/>
      <c r="O45" s="127"/>
      <c r="P45" s="9"/>
    </row>
    <row r="46" spans="2:16" ht="15" customHeight="1">
      <c r="B46" s="136">
        <v>5</v>
      </c>
      <c r="C46" s="224" t="s">
        <v>120</v>
      </c>
      <c r="D46" s="224"/>
      <c r="E46" s="224"/>
      <c r="F46" s="224"/>
      <c r="G46" s="224"/>
      <c r="H46" s="224"/>
      <c r="I46" s="224"/>
      <c r="J46" s="225"/>
      <c r="K46" s="137"/>
      <c r="L46" s="116"/>
      <c r="M46" s="127"/>
      <c r="N46" s="127"/>
      <c r="O46" s="127"/>
      <c r="P46" s="9"/>
    </row>
    <row r="47" spans="2:16" ht="15" customHeight="1">
      <c r="B47" s="136">
        <v>6</v>
      </c>
      <c r="C47" s="224" t="s">
        <v>121</v>
      </c>
      <c r="D47" s="224"/>
      <c r="E47" s="224"/>
      <c r="F47" s="224"/>
      <c r="G47" s="224"/>
      <c r="H47" s="224"/>
      <c r="I47" s="224"/>
      <c r="J47" s="225"/>
      <c r="K47" s="137"/>
      <c r="L47" s="116"/>
      <c r="M47" s="127"/>
      <c r="N47" s="127"/>
      <c r="O47" s="127"/>
      <c r="P47" s="9"/>
    </row>
    <row r="48" spans="2:16" ht="15" customHeight="1">
      <c r="B48" s="136">
        <v>7</v>
      </c>
      <c r="C48" s="224" t="s">
        <v>122</v>
      </c>
      <c r="D48" s="224"/>
      <c r="E48" s="224"/>
      <c r="F48" s="224"/>
      <c r="G48" s="224"/>
      <c r="H48" s="224"/>
      <c r="I48" s="224"/>
      <c r="J48" s="225"/>
      <c r="K48" s="137"/>
      <c r="L48" s="116"/>
      <c r="M48" s="127"/>
      <c r="N48" s="127"/>
      <c r="O48" s="127"/>
      <c r="P48" s="9"/>
    </row>
    <row r="49" spans="2:16" ht="15" customHeight="1">
      <c r="B49" s="136">
        <v>8</v>
      </c>
      <c r="C49" s="224" t="s">
        <v>123</v>
      </c>
      <c r="D49" s="224"/>
      <c r="E49" s="224"/>
      <c r="F49" s="224"/>
      <c r="G49" s="224"/>
      <c r="H49" s="224"/>
      <c r="I49" s="224"/>
      <c r="J49" s="225"/>
      <c r="K49" s="137"/>
      <c r="L49" s="116"/>
      <c r="M49" s="127"/>
      <c r="N49" s="127"/>
      <c r="O49" s="127"/>
      <c r="P49" s="9"/>
    </row>
    <row r="50" spans="2:16" ht="15" customHeight="1">
      <c r="B50" s="133" t="s">
        <v>124</v>
      </c>
      <c r="C50" s="134" t="str">
        <f>$C$15</f>
        <v>Roll forward</v>
      </c>
      <c r="D50" s="134"/>
      <c r="E50" s="134"/>
      <c r="F50" s="134"/>
      <c r="G50" s="134"/>
      <c r="H50" s="134"/>
      <c r="I50" s="134"/>
      <c r="J50" s="135"/>
      <c r="K50" s="137"/>
      <c r="L50" s="116"/>
      <c r="M50" s="127"/>
      <c r="N50" s="127"/>
      <c r="O50" s="127"/>
      <c r="P50" s="9"/>
    </row>
    <row r="51" spans="2:16" ht="15" customHeight="1">
      <c r="B51" s="136">
        <v>9</v>
      </c>
      <c r="C51" s="224" t="s">
        <v>125</v>
      </c>
      <c r="D51" s="224"/>
      <c r="E51" s="224"/>
      <c r="F51" s="224"/>
      <c r="G51" s="224"/>
      <c r="H51" s="224"/>
      <c r="I51" s="224"/>
      <c r="J51" s="225"/>
      <c r="K51" s="137"/>
      <c r="L51" s="116"/>
      <c r="M51" s="127"/>
      <c r="N51" s="127"/>
      <c r="O51" s="127"/>
      <c r="P51" s="9"/>
    </row>
    <row r="52" spans="2:16" ht="15" customHeight="1">
      <c r="B52" s="136">
        <v>10</v>
      </c>
      <c r="C52" s="224" t="s">
        <v>126</v>
      </c>
      <c r="D52" s="224"/>
      <c r="E52" s="224"/>
      <c r="F52" s="224"/>
      <c r="G52" s="224"/>
      <c r="H52" s="224"/>
      <c r="I52" s="224"/>
      <c r="J52" s="225"/>
      <c r="K52" s="137"/>
      <c r="L52" s="116"/>
      <c r="M52" s="127"/>
      <c r="N52" s="127"/>
      <c r="O52" s="127"/>
      <c r="P52" s="9"/>
    </row>
    <row r="53" spans="2:16" ht="15" customHeight="1">
      <c r="B53" s="136">
        <v>11</v>
      </c>
      <c r="C53" s="224" t="s">
        <v>127</v>
      </c>
      <c r="D53" s="224"/>
      <c r="E53" s="224"/>
      <c r="F53" s="224"/>
      <c r="G53" s="224"/>
      <c r="H53" s="224"/>
      <c r="I53" s="224"/>
      <c r="J53" s="225"/>
      <c r="K53" s="137"/>
      <c r="L53" s="116"/>
      <c r="M53" s="127"/>
      <c r="N53" s="127"/>
      <c r="O53" s="127"/>
      <c r="P53" s="9"/>
    </row>
    <row r="54" spans="2:16" ht="15" customHeight="1">
      <c r="B54" s="136">
        <v>12</v>
      </c>
      <c r="C54" s="224" t="s">
        <v>128</v>
      </c>
      <c r="D54" s="224"/>
      <c r="E54" s="224"/>
      <c r="F54" s="224"/>
      <c r="G54" s="224"/>
      <c r="H54" s="224"/>
      <c r="I54" s="224"/>
      <c r="J54" s="225"/>
      <c r="K54" s="137"/>
      <c r="L54" s="116"/>
      <c r="M54" s="127"/>
      <c r="N54" s="127"/>
      <c r="O54" s="127"/>
      <c r="P54" s="9"/>
    </row>
    <row r="55" spans="2:16" ht="15" customHeight="1">
      <c r="B55" s="136">
        <v>13</v>
      </c>
      <c r="C55" s="224" t="s">
        <v>129</v>
      </c>
      <c r="D55" s="224"/>
      <c r="E55" s="224"/>
      <c r="F55" s="224"/>
      <c r="G55" s="224"/>
      <c r="H55" s="224"/>
      <c r="I55" s="224"/>
      <c r="J55" s="225"/>
      <c r="K55" s="137"/>
      <c r="L55" s="116"/>
      <c r="M55" s="127"/>
      <c r="N55" s="127"/>
      <c r="O55" s="127"/>
      <c r="P55" s="9"/>
    </row>
    <row r="56" spans="2:16" ht="15" customHeight="1">
      <c r="B56" s="136">
        <v>14</v>
      </c>
      <c r="C56" s="224" t="s">
        <v>130</v>
      </c>
      <c r="D56" s="224"/>
      <c r="E56" s="224"/>
      <c r="F56" s="224"/>
      <c r="G56" s="224"/>
      <c r="H56" s="224"/>
      <c r="I56" s="224"/>
      <c r="J56" s="225"/>
      <c r="K56" s="137"/>
      <c r="L56" s="116"/>
      <c r="M56" s="127"/>
      <c r="N56" s="127"/>
      <c r="O56" s="127"/>
      <c r="P56" s="9"/>
    </row>
    <row r="57" spans="2:16" ht="15" customHeight="1">
      <c r="B57" s="136">
        <v>15</v>
      </c>
      <c r="C57" s="224" t="s">
        <v>131</v>
      </c>
      <c r="D57" s="224"/>
      <c r="E57" s="224"/>
      <c r="F57" s="224"/>
      <c r="G57" s="224"/>
      <c r="H57" s="224"/>
      <c r="I57" s="224"/>
      <c r="J57" s="225"/>
      <c r="K57" s="137"/>
      <c r="L57" s="116"/>
      <c r="M57" s="127"/>
      <c r="N57" s="127"/>
      <c r="O57" s="127"/>
      <c r="P57" s="9"/>
    </row>
    <row r="58" spans="2:16" ht="15" customHeight="1">
      <c r="B58" s="136">
        <v>16</v>
      </c>
      <c r="C58" s="224" t="s">
        <v>132</v>
      </c>
      <c r="D58" s="224"/>
      <c r="E58" s="224"/>
      <c r="F58" s="224"/>
      <c r="G58" s="224"/>
      <c r="H58" s="224"/>
      <c r="I58" s="224"/>
      <c r="J58" s="225"/>
      <c r="K58" s="137"/>
      <c r="L58" s="116"/>
    </row>
    <row r="59" spans="2:16" ht="15" customHeight="1">
      <c r="B59" s="136">
        <v>17</v>
      </c>
      <c r="C59" s="224" t="s">
        <v>133</v>
      </c>
      <c r="D59" s="224"/>
      <c r="E59" s="224"/>
      <c r="F59" s="224"/>
      <c r="G59" s="224"/>
      <c r="H59" s="224"/>
      <c r="I59" s="224"/>
      <c r="J59" s="225"/>
      <c r="K59" s="137"/>
      <c r="L59" s="116"/>
    </row>
    <row r="60" spans="2:16" ht="15" customHeight="1">
      <c r="B60" s="133" t="s">
        <v>134</v>
      </c>
      <c r="C60" s="134" t="str">
        <f>$C$26</f>
        <v>RCV as at 31 March 2020</v>
      </c>
      <c r="D60" s="134"/>
      <c r="E60" s="134"/>
      <c r="F60" s="134"/>
      <c r="G60" s="134"/>
      <c r="H60" s="134"/>
      <c r="I60" s="134"/>
      <c r="J60" s="135"/>
      <c r="K60" s="137"/>
      <c r="L60" s="116"/>
    </row>
    <row r="61" spans="2:16" ht="30" customHeight="1">
      <c r="B61" s="136">
        <v>18</v>
      </c>
      <c r="C61" s="224" t="s">
        <v>135</v>
      </c>
      <c r="D61" s="224"/>
      <c r="E61" s="224"/>
      <c r="F61" s="224"/>
      <c r="G61" s="224"/>
      <c r="H61" s="224"/>
      <c r="I61" s="224"/>
      <c r="J61" s="225"/>
      <c r="K61" s="137"/>
      <c r="L61" s="116"/>
    </row>
    <row r="62" spans="2:16" ht="15" customHeight="1" thickBot="1">
      <c r="B62" s="138">
        <v>19</v>
      </c>
      <c r="C62" s="226" t="s">
        <v>136</v>
      </c>
      <c r="D62" s="226"/>
      <c r="E62" s="226"/>
      <c r="F62" s="226"/>
      <c r="G62" s="226"/>
      <c r="H62" s="226"/>
      <c r="I62" s="226"/>
      <c r="J62" s="227"/>
    </row>
  </sheetData>
  <mergeCells count="23">
    <mergeCell ref="C43:J43"/>
    <mergeCell ref="B3:C3"/>
    <mergeCell ref="O3:P3"/>
    <mergeCell ref="B38:J38"/>
    <mergeCell ref="C40:J40"/>
    <mergeCell ref="C42:J42"/>
    <mergeCell ref="C56:J56"/>
    <mergeCell ref="C44:J44"/>
    <mergeCell ref="C45:J45"/>
    <mergeCell ref="C46:J46"/>
    <mergeCell ref="C47:J47"/>
    <mergeCell ref="C48:J48"/>
    <mergeCell ref="C49:J49"/>
    <mergeCell ref="C51:J51"/>
    <mergeCell ref="C52:J52"/>
    <mergeCell ref="C53:J53"/>
    <mergeCell ref="C54:J54"/>
    <mergeCell ref="C55:J55"/>
    <mergeCell ref="C57:J57"/>
    <mergeCell ref="C58:J58"/>
    <mergeCell ref="C59:J59"/>
    <mergeCell ref="C61:J61"/>
    <mergeCell ref="C62:J62"/>
  </mergeCells>
  <pageMargins left="0.70866141732283472" right="0.70866141732283472" top="0.74803149606299213" bottom="0.74803149606299213" header="0.31496062992125984" footer="0.31496062992125984"/>
  <pageSetup paperSize="9" scale="47" orientation="landscape" r:id="rId1"/>
  <headerFooter>
    <oddHeader>&amp;L&amp;"Franklin Gothic Demi,Regular"&amp;K0078C9Delivering Water 2020: Our methodology for the 2019 price review&amp;C&amp;"Franklin Gothic Demi,Regular"&amp;K0078C9Sheet: &amp;A&amp;R&amp;"Franklin Gothic Demi,Regular"&amp;K0078C9&amp;P of &amp;N</oddHeader>
    <oddFooter>&amp;R&amp;"Franklin Gothic Demi,Regular"&amp;K0078C9&amp;F &amp; Printed at &amp;T on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5"/>
  <sheetViews>
    <sheetView workbookViewId="0">
      <selection activeCell="L22" sqref="L22"/>
    </sheetView>
  </sheetViews>
  <sheetFormatPr defaultColWidth="11.140625" defaultRowHeight="15"/>
  <cols>
    <col min="1" max="1" width="2" style="175" customWidth="1"/>
    <col min="2" max="2" width="5.42578125" style="175" customWidth="1"/>
    <col min="3" max="3" width="84.42578125" style="175" bestFit="1" customWidth="1"/>
    <col min="4" max="4" width="13.42578125" style="175" customWidth="1"/>
    <col min="5" max="6" width="6.5703125" style="175" customWidth="1"/>
    <col min="7" max="7" width="21.28515625" style="175" bestFit="1" customWidth="1"/>
    <col min="8" max="10" width="11.140625" style="175"/>
    <col min="11" max="11" width="3.140625" style="175" customWidth="1"/>
    <col min="12" max="12" width="54" style="175" bestFit="1" customWidth="1"/>
    <col min="13" max="13" width="19.85546875" style="175" customWidth="1"/>
    <col min="14" max="16384" width="11.140625" style="175"/>
  </cols>
  <sheetData>
    <row r="1" spans="2:13" ht="18.75">
      <c r="B1" s="1" t="s">
        <v>170</v>
      </c>
      <c r="C1" s="1"/>
      <c r="D1" s="1"/>
      <c r="E1" s="1"/>
      <c r="F1" s="1"/>
      <c r="G1" s="1"/>
      <c r="H1" s="1"/>
      <c r="I1" s="1"/>
      <c r="J1" s="2" t="s">
        <v>1</v>
      </c>
      <c r="K1" s="3"/>
      <c r="L1" s="4" t="s">
        <v>2</v>
      </c>
      <c r="M1" s="4"/>
    </row>
    <row r="2" spans="2:13" ht="15.75" thickBot="1">
      <c r="B2" s="8"/>
      <c r="C2" s="8"/>
      <c r="D2" s="8"/>
      <c r="E2" s="8"/>
      <c r="F2" s="8"/>
      <c r="G2" s="8"/>
      <c r="H2" s="8"/>
      <c r="I2" s="8"/>
      <c r="J2" s="8"/>
      <c r="K2" s="8"/>
      <c r="L2" s="8"/>
      <c r="M2" s="8"/>
    </row>
    <row r="3" spans="2:13" ht="39" thickBot="1">
      <c r="B3" s="228" t="s">
        <v>4</v>
      </c>
      <c r="C3" s="229"/>
      <c r="D3" s="10" t="s">
        <v>5</v>
      </c>
      <c r="E3" s="11" t="s">
        <v>6</v>
      </c>
      <c r="F3" s="12" t="s">
        <v>7</v>
      </c>
      <c r="G3" s="13" t="s">
        <v>8</v>
      </c>
      <c r="H3" s="14" t="s">
        <v>9</v>
      </c>
      <c r="I3" s="10" t="s">
        <v>10</v>
      </c>
      <c r="J3" s="15" t="s">
        <v>171</v>
      </c>
      <c r="K3" s="8"/>
      <c r="L3" s="16" t="s">
        <v>12</v>
      </c>
      <c r="M3" s="15" t="s">
        <v>13</v>
      </c>
    </row>
    <row r="4" spans="2:13" ht="15.75" thickBot="1">
      <c r="B4" s="8"/>
      <c r="C4" s="8"/>
      <c r="D4" s="8"/>
      <c r="E4" s="8"/>
      <c r="F4" s="8"/>
      <c r="G4" s="8"/>
      <c r="H4" s="8"/>
      <c r="I4" s="8"/>
      <c r="J4" s="8"/>
      <c r="K4" s="8"/>
      <c r="L4" s="8"/>
      <c r="M4" s="8"/>
    </row>
    <row r="5" spans="2:13" ht="15.75" thickBot="1">
      <c r="B5" s="18" t="s">
        <v>14</v>
      </c>
      <c r="C5" s="19" t="s">
        <v>172</v>
      </c>
      <c r="D5" s="8"/>
      <c r="E5" s="8"/>
      <c r="F5" s="8"/>
      <c r="G5" s="8"/>
      <c r="H5" s="8"/>
      <c r="I5" s="8"/>
      <c r="J5" s="8"/>
      <c r="K5" s="8"/>
      <c r="L5" s="8"/>
      <c r="M5" s="8"/>
    </row>
    <row r="6" spans="2:13">
      <c r="B6" s="20">
        <v>1</v>
      </c>
      <c r="C6" s="176" t="s">
        <v>173</v>
      </c>
      <c r="D6" s="23"/>
      <c r="E6" s="23" t="s">
        <v>18</v>
      </c>
      <c r="F6" s="24">
        <v>3</v>
      </c>
      <c r="G6" s="74" t="s">
        <v>174</v>
      </c>
      <c r="H6" s="207">
        <v>4.1950000000000003</v>
      </c>
      <c r="I6" s="178">
        <v>29.321000000000002</v>
      </c>
      <c r="J6" s="179">
        <f>SUM(H6:I6)</f>
        <v>33.516000000000005</v>
      </c>
      <c r="K6" s="8"/>
      <c r="L6" s="78" t="s">
        <v>234</v>
      </c>
      <c r="M6" s="79"/>
    </row>
    <row r="7" spans="2:13">
      <c r="B7" s="35">
        <v>2</v>
      </c>
      <c r="C7" s="21" t="s">
        <v>175</v>
      </c>
      <c r="D7" s="49"/>
      <c r="E7" s="49" t="s">
        <v>18</v>
      </c>
      <c r="F7" s="50">
        <v>3</v>
      </c>
      <c r="G7" s="51" t="s">
        <v>174</v>
      </c>
      <c r="H7" s="52">
        <v>0.47699999999999998</v>
      </c>
      <c r="I7" s="53">
        <v>3.468</v>
      </c>
      <c r="J7" s="54">
        <f t="shared" ref="J7:J11" si="0">SUM(H7:I7)</f>
        <v>3.9449999999999998</v>
      </c>
      <c r="K7" s="8"/>
      <c r="L7" s="80" t="s">
        <v>235</v>
      </c>
      <c r="M7" s="81"/>
    </row>
    <row r="8" spans="2:13">
      <c r="B8" s="35">
        <v>3</v>
      </c>
      <c r="C8" s="21" t="s">
        <v>176</v>
      </c>
      <c r="D8" s="49"/>
      <c r="E8" s="49" t="s">
        <v>18</v>
      </c>
      <c r="F8" s="50">
        <v>3</v>
      </c>
      <c r="G8" s="51" t="s">
        <v>174</v>
      </c>
      <c r="H8" s="52">
        <v>2.1999999999999999E-2</v>
      </c>
      <c r="I8" s="53">
        <v>3.7999999999999999E-2</v>
      </c>
      <c r="J8" s="54">
        <f t="shared" si="0"/>
        <v>0.06</v>
      </c>
      <c r="K8" s="8"/>
      <c r="L8" s="80" t="s">
        <v>235</v>
      </c>
      <c r="M8" s="81"/>
    </row>
    <row r="9" spans="2:13">
      <c r="B9" s="35">
        <v>4</v>
      </c>
      <c r="C9" s="21" t="s">
        <v>177</v>
      </c>
      <c r="D9" s="49"/>
      <c r="E9" s="49" t="s">
        <v>178</v>
      </c>
      <c r="F9" s="50">
        <v>3</v>
      </c>
      <c r="G9" s="180" t="s">
        <v>92</v>
      </c>
      <c r="H9" s="211">
        <v>53045</v>
      </c>
      <c r="I9" s="219">
        <v>53045</v>
      </c>
      <c r="J9" s="220">
        <f t="shared" si="0"/>
        <v>106090</v>
      </c>
      <c r="K9" s="8"/>
      <c r="L9" s="80" t="s">
        <v>238</v>
      </c>
      <c r="M9" s="81"/>
    </row>
    <row r="10" spans="2:13">
      <c r="B10" s="35">
        <v>5</v>
      </c>
      <c r="C10" s="21" t="s">
        <v>179</v>
      </c>
      <c r="D10" s="49"/>
      <c r="E10" s="49" t="s">
        <v>178</v>
      </c>
      <c r="F10" s="50">
        <v>3</v>
      </c>
      <c r="G10" s="180" t="s">
        <v>92</v>
      </c>
      <c r="H10" s="212">
        <v>6030</v>
      </c>
      <c r="I10" s="221">
        <v>6030</v>
      </c>
      <c r="J10" s="220">
        <f t="shared" si="0"/>
        <v>12060</v>
      </c>
      <c r="K10" s="8"/>
      <c r="L10" s="80" t="s">
        <v>237</v>
      </c>
      <c r="M10" s="81"/>
    </row>
    <row r="11" spans="2:13" ht="15.75" thickBot="1">
      <c r="B11" s="59">
        <v>6</v>
      </c>
      <c r="C11" s="60" t="s">
        <v>180</v>
      </c>
      <c r="D11" s="61"/>
      <c r="E11" s="61" t="s">
        <v>178</v>
      </c>
      <c r="F11" s="62">
        <v>3</v>
      </c>
      <c r="G11" s="183" t="s">
        <v>92</v>
      </c>
      <c r="H11" s="213">
        <v>423</v>
      </c>
      <c r="I11" s="222">
        <v>423</v>
      </c>
      <c r="J11" s="223">
        <f t="shared" si="0"/>
        <v>846</v>
      </c>
      <c r="K11" s="8"/>
      <c r="L11" s="67" t="s">
        <v>236</v>
      </c>
      <c r="M11" s="68"/>
    </row>
    <row r="12" spans="2:13" ht="15.75" thickBot="1">
      <c r="B12" s="82"/>
      <c r="C12" s="82"/>
      <c r="D12" s="8"/>
      <c r="E12" s="8"/>
      <c r="F12" s="8"/>
      <c r="G12" s="8"/>
      <c r="H12" s="8"/>
      <c r="I12" s="8"/>
      <c r="J12" s="8"/>
      <c r="K12" s="8"/>
      <c r="L12" s="8"/>
      <c r="M12" s="8"/>
    </row>
    <row r="13" spans="2:13" ht="15.75" thickBot="1">
      <c r="B13" s="18" t="s">
        <v>56</v>
      </c>
      <c r="C13" s="19" t="s">
        <v>181</v>
      </c>
      <c r="D13" s="8"/>
      <c r="E13" s="8"/>
      <c r="F13" s="8"/>
      <c r="G13" s="8"/>
      <c r="H13" s="8"/>
      <c r="I13" s="8"/>
      <c r="J13" s="8"/>
      <c r="K13" s="8"/>
      <c r="L13" s="8"/>
      <c r="M13" s="8"/>
    </row>
    <row r="14" spans="2:13">
      <c r="B14" s="99">
        <v>7</v>
      </c>
      <c r="C14" s="100" t="s">
        <v>182</v>
      </c>
      <c r="D14" s="23"/>
      <c r="E14" s="23" t="s">
        <v>18</v>
      </c>
      <c r="F14" s="184">
        <v>3</v>
      </c>
      <c r="G14" s="185" t="s">
        <v>174</v>
      </c>
      <c r="H14" s="177">
        <v>0</v>
      </c>
      <c r="I14" s="178">
        <v>0</v>
      </c>
      <c r="J14" s="179">
        <f>SUM(H14:I14)</f>
        <v>0</v>
      </c>
      <c r="K14" s="8"/>
      <c r="L14" s="78" t="s">
        <v>239</v>
      </c>
      <c r="M14" s="79" t="s">
        <v>183</v>
      </c>
    </row>
    <row r="15" spans="2:13">
      <c r="B15" s="20">
        <v>8</v>
      </c>
      <c r="C15" s="21" t="s">
        <v>184</v>
      </c>
      <c r="D15" s="49"/>
      <c r="E15" s="49" t="s">
        <v>18</v>
      </c>
      <c r="F15" s="186">
        <v>3</v>
      </c>
      <c r="G15" s="187" t="s">
        <v>174</v>
      </c>
      <c r="H15" s="181">
        <v>0</v>
      </c>
      <c r="I15" s="182">
        <v>0</v>
      </c>
      <c r="J15" s="188">
        <f t="shared" ref="J15:J16" si="1">SUM(H15:I15)</f>
        <v>0</v>
      </c>
      <c r="K15" s="8"/>
      <c r="L15" s="80"/>
      <c r="M15" s="81" t="s">
        <v>183</v>
      </c>
    </row>
    <row r="16" spans="2:13" ht="15.75" thickBot="1">
      <c r="B16" s="59">
        <v>9</v>
      </c>
      <c r="C16" s="60" t="s">
        <v>185</v>
      </c>
      <c r="D16" s="61"/>
      <c r="E16" s="61" t="s">
        <v>91</v>
      </c>
      <c r="F16" s="62">
        <v>1</v>
      </c>
      <c r="G16" s="183" t="s">
        <v>92</v>
      </c>
      <c r="H16" s="189">
        <f>(H14+H15)/H9*1000</f>
        <v>0</v>
      </c>
      <c r="I16" s="190">
        <f>(I14+I15)/I9*1000</f>
        <v>0</v>
      </c>
      <c r="J16" s="191">
        <f t="shared" si="1"/>
        <v>0</v>
      </c>
      <c r="K16" s="8"/>
      <c r="L16" s="67"/>
      <c r="M16" s="68" t="s">
        <v>183</v>
      </c>
    </row>
    <row r="17" spans="2:13" ht="15.75" thickBot="1">
      <c r="B17" s="8"/>
      <c r="C17" s="8"/>
      <c r="D17" s="8"/>
      <c r="E17" s="8"/>
      <c r="F17" s="8"/>
      <c r="G17" s="8"/>
      <c r="H17" s="8"/>
      <c r="I17" s="8"/>
      <c r="J17" s="8"/>
      <c r="K17" s="8"/>
      <c r="L17" s="8"/>
      <c r="M17" s="8"/>
    </row>
    <row r="18" spans="2:13" ht="15.75" thickBot="1">
      <c r="B18" s="18" t="s">
        <v>96</v>
      </c>
      <c r="C18" s="19" t="s">
        <v>186</v>
      </c>
      <c r="D18" s="8"/>
      <c r="E18" s="8"/>
      <c r="F18" s="8"/>
      <c r="G18" s="8"/>
      <c r="H18" s="8"/>
      <c r="I18" s="8"/>
      <c r="J18" s="8"/>
      <c r="K18" s="8"/>
      <c r="L18" s="8"/>
      <c r="M18" s="8"/>
    </row>
    <row r="19" spans="2:13">
      <c r="B19" s="20">
        <v>10</v>
      </c>
      <c r="C19" s="176" t="s">
        <v>187</v>
      </c>
      <c r="D19" s="23"/>
      <c r="E19" s="23" t="s">
        <v>188</v>
      </c>
      <c r="F19" s="24">
        <v>3</v>
      </c>
      <c r="G19" s="192" t="s">
        <v>92</v>
      </c>
      <c r="H19" s="193">
        <v>12.5</v>
      </c>
      <c r="I19" s="194"/>
      <c r="J19" s="31"/>
      <c r="K19" s="8"/>
      <c r="L19" s="78" t="s">
        <v>240</v>
      </c>
      <c r="M19" s="79"/>
    </row>
    <row r="20" spans="2:13">
      <c r="B20" s="35">
        <v>11</v>
      </c>
      <c r="C20" s="195" t="s">
        <v>189</v>
      </c>
      <c r="D20" s="49"/>
      <c r="E20" s="49" t="s">
        <v>18</v>
      </c>
      <c r="F20" s="50">
        <v>3</v>
      </c>
      <c r="G20" s="51" t="s">
        <v>174</v>
      </c>
      <c r="H20" s="196">
        <v>1.9910000000000001</v>
      </c>
      <c r="I20" s="31"/>
      <c r="J20" s="31"/>
      <c r="K20" s="8"/>
      <c r="L20" s="80"/>
      <c r="M20" s="81"/>
    </row>
    <row r="21" spans="2:13" ht="15.75" thickBot="1">
      <c r="B21" s="59">
        <v>12</v>
      </c>
      <c r="C21" s="60" t="s">
        <v>190</v>
      </c>
      <c r="D21" s="61"/>
      <c r="E21" s="61" t="s">
        <v>191</v>
      </c>
      <c r="F21" s="62">
        <v>2</v>
      </c>
      <c r="G21" s="63" t="s">
        <v>174</v>
      </c>
      <c r="H21" s="197">
        <f>H20/(H19*0.365)</f>
        <v>0.43638356164383563</v>
      </c>
      <c r="I21" s="198"/>
      <c r="J21" s="198"/>
      <c r="K21" s="8"/>
      <c r="L21" s="67"/>
      <c r="M21" s="68"/>
    </row>
    <row r="22" spans="2:13" ht="15.75" thickBot="1">
      <c r="B22" s="8"/>
      <c r="C22" s="8"/>
      <c r="D22" s="8"/>
      <c r="E22" s="8"/>
      <c r="F22" s="8"/>
      <c r="G22" s="8"/>
      <c r="H22" s="8"/>
      <c r="I22" s="8"/>
      <c r="J22" s="8"/>
      <c r="K22" s="8"/>
      <c r="L22" s="8"/>
      <c r="M22" s="8"/>
    </row>
    <row r="23" spans="2:13" ht="15.75" thickBot="1">
      <c r="B23" s="18" t="s">
        <v>192</v>
      </c>
      <c r="C23" s="19" t="s">
        <v>193</v>
      </c>
      <c r="D23" s="8"/>
      <c r="E23" s="8"/>
      <c r="F23" s="8"/>
      <c r="G23" s="8"/>
      <c r="H23" s="8"/>
      <c r="I23" s="8"/>
      <c r="J23" s="8"/>
      <c r="K23" s="8"/>
      <c r="L23" s="8"/>
      <c r="M23" s="8"/>
    </row>
    <row r="24" spans="2:13">
      <c r="B24" s="20">
        <v>13</v>
      </c>
      <c r="C24" s="21" t="s">
        <v>194</v>
      </c>
      <c r="D24" s="23"/>
      <c r="E24" s="23" t="s">
        <v>191</v>
      </c>
      <c r="F24" s="24">
        <v>2</v>
      </c>
      <c r="G24" s="74" t="s">
        <v>174</v>
      </c>
      <c r="H24" s="209">
        <f t="shared" ref="H24:I26" si="2">H6/H9*1000</f>
        <v>7.9083796776321991E-2</v>
      </c>
      <c r="I24" s="27">
        <f t="shared" si="2"/>
        <v>0.55275709303421627</v>
      </c>
      <c r="J24" s="179">
        <f>I24+H24</f>
        <v>0.63184088981053832</v>
      </c>
      <c r="K24" s="8"/>
      <c r="L24" s="199" t="s">
        <v>195</v>
      </c>
      <c r="M24" s="79"/>
    </row>
    <row r="25" spans="2:13">
      <c r="B25" s="20">
        <v>14</v>
      </c>
      <c r="C25" s="21" t="s">
        <v>196</v>
      </c>
      <c r="D25" s="49"/>
      <c r="E25" s="49" t="s">
        <v>191</v>
      </c>
      <c r="F25" s="50">
        <v>2</v>
      </c>
      <c r="G25" s="51" t="s">
        <v>174</v>
      </c>
      <c r="H25" s="208">
        <f t="shared" si="2"/>
        <v>7.9104477611940296E-2</v>
      </c>
      <c r="I25" s="90">
        <f t="shared" si="2"/>
        <v>0.57512437810945272</v>
      </c>
      <c r="J25" s="214">
        <f>I25+H25</f>
        <v>0.654228855721393</v>
      </c>
      <c r="K25" s="8"/>
      <c r="L25" s="200" t="s">
        <v>197</v>
      </c>
      <c r="M25" s="81"/>
    </row>
    <row r="26" spans="2:13">
      <c r="B26" s="35">
        <v>15</v>
      </c>
      <c r="C26" s="36" t="s">
        <v>198</v>
      </c>
      <c r="D26" s="83"/>
      <c r="E26" s="49" t="s">
        <v>191</v>
      </c>
      <c r="F26" s="50">
        <v>3</v>
      </c>
      <c r="G26" s="84" t="s">
        <v>174</v>
      </c>
      <c r="H26" s="210">
        <f t="shared" si="2"/>
        <v>5.2009456264775406E-2</v>
      </c>
      <c r="I26" s="215">
        <f t="shared" si="2"/>
        <v>8.9834515366430251E-2</v>
      </c>
      <c r="J26" s="214">
        <f>H26+I26</f>
        <v>0.14184397163120566</v>
      </c>
      <c r="K26" s="8"/>
      <c r="L26" s="200" t="s">
        <v>199</v>
      </c>
      <c r="M26" s="81"/>
    </row>
    <row r="27" spans="2:13" ht="15.75" thickBot="1">
      <c r="B27" s="59">
        <v>16</v>
      </c>
      <c r="C27" s="60" t="s">
        <v>200</v>
      </c>
      <c r="D27" s="61"/>
      <c r="E27" s="61" t="s">
        <v>191</v>
      </c>
      <c r="F27" s="62">
        <v>2</v>
      </c>
      <c r="G27" s="63" t="s">
        <v>174</v>
      </c>
      <c r="H27" s="216">
        <f>(H6-H7-H8)/(H9-H10-H11)*1000</f>
        <v>7.9326923076923087E-2</v>
      </c>
      <c r="I27" s="217">
        <f>(I6-I7-I8)/(I9-I10-I11)*1000</f>
        <v>0.5540650755494505</v>
      </c>
      <c r="J27" s="218">
        <f>H27+I27</f>
        <v>0.63339199862637363</v>
      </c>
      <c r="K27" s="8"/>
      <c r="L27" s="201" t="s">
        <v>201</v>
      </c>
      <c r="M27" s="68"/>
    </row>
    <row r="28" spans="2:13" ht="15.75" thickBot="1">
      <c r="B28" s="8"/>
      <c r="C28" s="8"/>
      <c r="D28" s="8"/>
      <c r="E28" s="8"/>
      <c r="F28" s="8"/>
      <c r="G28" s="8"/>
      <c r="H28" s="8"/>
      <c r="I28" s="8"/>
      <c r="J28" s="8"/>
      <c r="K28" s="8"/>
      <c r="L28" s="8"/>
      <c r="M28" s="8"/>
    </row>
    <row r="29" spans="2:13" ht="15.75" thickBot="1">
      <c r="B29" s="18" t="s">
        <v>202</v>
      </c>
      <c r="C29" s="19" t="s">
        <v>203</v>
      </c>
      <c r="D29" s="8"/>
      <c r="E29" s="8"/>
      <c r="F29" s="8"/>
      <c r="G29" s="8"/>
      <c r="H29" s="8"/>
      <c r="I29" s="8"/>
      <c r="J29" s="8"/>
      <c r="K29" s="8"/>
      <c r="L29" s="8"/>
      <c r="M29" s="8"/>
    </row>
    <row r="30" spans="2:13">
      <c r="B30" s="20">
        <v>17</v>
      </c>
      <c r="C30" s="21" t="s">
        <v>204</v>
      </c>
      <c r="D30" s="23"/>
      <c r="E30" s="23" t="s">
        <v>191</v>
      </c>
      <c r="F30" s="24">
        <v>2</v>
      </c>
      <c r="G30" s="74" t="s">
        <v>174</v>
      </c>
      <c r="H30" s="209">
        <f>H24+H$16</f>
        <v>7.9083796776321991E-2</v>
      </c>
      <c r="I30" s="27">
        <f t="shared" ref="I30:I33" si="3">I24+I$16</f>
        <v>0.55275709303421627</v>
      </c>
      <c r="J30" s="179">
        <f t="shared" ref="J30:J33" si="4">H30+I30</f>
        <v>0.63184088981053832</v>
      </c>
      <c r="K30" s="8"/>
      <c r="L30" s="199" t="s">
        <v>205</v>
      </c>
      <c r="M30" s="79"/>
    </row>
    <row r="31" spans="2:13">
      <c r="B31" s="20">
        <v>18</v>
      </c>
      <c r="C31" s="21" t="s">
        <v>206</v>
      </c>
      <c r="D31" s="49"/>
      <c r="E31" s="49" t="s">
        <v>191</v>
      </c>
      <c r="F31" s="50">
        <v>2</v>
      </c>
      <c r="G31" s="51" t="s">
        <v>174</v>
      </c>
      <c r="H31" s="208">
        <f t="shared" ref="H31:H33" si="5">H25+H$16</f>
        <v>7.9104477611940296E-2</v>
      </c>
      <c r="I31" s="90">
        <f t="shared" si="3"/>
        <v>0.57512437810945272</v>
      </c>
      <c r="J31" s="188">
        <f t="shared" si="4"/>
        <v>0.654228855721393</v>
      </c>
      <c r="K31" s="8"/>
      <c r="L31" s="200" t="s">
        <v>207</v>
      </c>
      <c r="M31" s="81"/>
    </row>
    <row r="32" spans="2:13">
      <c r="B32" s="20">
        <v>19</v>
      </c>
      <c r="C32" s="36" t="s">
        <v>208</v>
      </c>
      <c r="D32" s="49"/>
      <c r="E32" s="49" t="s">
        <v>191</v>
      </c>
      <c r="F32" s="50">
        <v>2</v>
      </c>
      <c r="G32" s="51" t="s">
        <v>174</v>
      </c>
      <c r="H32" s="208">
        <f t="shared" si="5"/>
        <v>5.2009456264775406E-2</v>
      </c>
      <c r="I32" s="90">
        <f t="shared" si="3"/>
        <v>8.9834515366430251E-2</v>
      </c>
      <c r="J32" s="188">
        <f t="shared" si="4"/>
        <v>0.14184397163120566</v>
      </c>
      <c r="K32" s="8"/>
      <c r="L32" s="200" t="s">
        <v>209</v>
      </c>
      <c r="M32" s="81"/>
    </row>
    <row r="33" spans="2:13" ht="15.75" thickBot="1">
      <c r="B33" s="59">
        <v>20</v>
      </c>
      <c r="C33" s="60" t="s">
        <v>210</v>
      </c>
      <c r="D33" s="61"/>
      <c r="E33" s="61" t="s">
        <v>191</v>
      </c>
      <c r="F33" s="62">
        <v>2</v>
      </c>
      <c r="G33" s="63" t="s">
        <v>174</v>
      </c>
      <c r="H33" s="216">
        <f t="shared" si="5"/>
        <v>7.9326923076923087E-2</v>
      </c>
      <c r="I33" s="217">
        <f t="shared" si="3"/>
        <v>0.5540650755494505</v>
      </c>
      <c r="J33" s="218">
        <f t="shared" si="4"/>
        <v>0.63339199862637363</v>
      </c>
      <c r="K33" s="8"/>
      <c r="L33" s="201" t="s">
        <v>211</v>
      </c>
      <c r="M33" s="68"/>
    </row>
    <row r="34" spans="2:13">
      <c r="B34" s="8"/>
      <c r="C34" s="8"/>
      <c r="D34" s="8"/>
      <c r="E34" s="8"/>
      <c r="F34" s="8"/>
      <c r="G34" s="8"/>
      <c r="H34" s="8"/>
      <c r="I34" s="8"/>
      <c r="J34" s="8"/>
      <c r="K34" s="8"/>
      <c r="L34" s="8"/>
      <c r="M34" s="111"/>
    </row>
    <row r="35" spans="2:13">
      <c r="B35" s="106" t="s">
        <v>106</v>
      </c>
      <c r="C35" s="107"/>
      <c r="D35" s="115"/>
      <c r="E35" s="115"/>
      <c r="F35" s="115"/>
      <c r="G35" s="115"/>
      <c r="H35" s="115"/>
      <c r="I35" s="115"/>
      <c r="J35" s="115"/>
      <c r="K35" s="115"/>
      <c r="L35" s="116"/>
      <c r="M35" s="118"/>
    </row>
    <row r="36" spans="2:13">
      <c r="B36" s="108"/>
      <c r="C36" s="109" t="s">
        <v>107</v>
      </c>
      <c r="D36" s="115"/>
      <c r="E36" s="115"/>
      <c r="F36" s="115"/>
      <c r="G36" s="115"/>
      <c r="H36" s="115"/>
      <c r="I36" s="115"/>
      <c r="J36" s="115"/>
      <c r="K36" s="115"/>
      <c r="L36" s="116"/>
      <c r="M36" s="111"/>
    </row>
    <row r="37" spans="2:13">
      <c r="B37" s="110"/>
      <c r="C37" s="109" t="s">
        <v>108</v>
      </c>
      <c r="D37" s="115"/>
      <c r="E37" s="115"/>
      <c r="F37" s="115"/>
      <c r="G37" s="115"/>
      <c r="H37" s="115"/>
      <c r="I37" s="115"/>
      <c r="J37" s="115"/>
      <c r="K37" s="115"/>
      <c r="L37" s="116"/>
      <c r="M37" s="125"/>
    </row>
    <row r="38" spans="2:13" ht="15" customHeight="1">
      <c r="B38" s="112"/>
      <c r="C38" s="109" t="s">
        <v>109</v>
      </c>
      <c r="D38" s="115"/>
      <c r="E38" s="115"/>
      <c r="F38" s="115"/>
      <c r="G38" s="115"/>
      <c r="H38" s="115"/>
      <c r="I38" s="115"/>
      <c r="J38" s="115"/>
      <c r="K38" s="115"/>
      <c r="L38" s="116"/>
      <c r="M38" s="127"/>
    </row>
    <row r="39" spans="2:13" ht="15" customHeight="1">
      <c r="B39" s="202"/>
      <c r="C39" s="109" t="s">
        <v>110</v>
      </c>
      <c r="D39" s="115"/>
      <c r="E39" s="115"/>
      <c r="F39" s="115"/>
      <c r="G39" s="115"/>
      <c r="H39" s="115"/>
      <c r="I39" s="115"/>
      <c r="J39" s="115"/>
      <c r="K39" s="115"/>
      <c r="L39" s="116"/>
      <c r="M39" s="127"/>
    </row>
    <row r="40" spans="2:13" ht="15" customHeight="1" thickBot="1">
      <c r="B40" s="203"/>
      <c r="C40" s="204"/>
      <c r="D40" s="115"/>
      <c r="E40" s="115"/>
      <c r="F40" s="115"/>
      <c r="G40" s="115"/>
      <c r="H40" s="115"/>
      <c r="I40" s="115"/>
      <c r="J40" s="115"/>
      <c r="K40" s="115"/>
      <c r="L40" s="116"/>
      <c r="M40" s="127"/>
    </row>
    <row r="41" spans="2:13" ht="15" customHeight="1" thickBot="1">
      <c r="B41" s="238" t="s">
        <v>212</v>
      </c>
      <c r="C41" s="239"/>
      <c r="D41" s="239"/>
      <c r="E41" s="239"/>
      <c r="F41" s="239"/>
      <c r="G41" s="239"/>
      <c r="H41" s="239"/>
      <c r="I41" s="239"/>
      <c r="J41" s="240"/>
      <c r="K41" s="123"/>
      <c r="L41" s="116"/>
      <c r="M41" s="127"/>
    </row>
    <row r="42" spans="2:13" ht="15" customHeight="1" thickBot="1">
      <c r="B42" s="113"/>
      <c r="C42" s="124"/>
      <c r="D42" s="123"/>
      <c r="E42" s="123"/>
      <c r="F42" s="123"/>
      <c r="G42" s="123"/>
      <c r="H42" s="123"/>
      <c r="I42" s="123"/>
      <c r="J42" s="123"/>
      <c r="K42" s="123"/>
      <c r="L42" s="116"/>
      <c r="M42" s="127"/>
    </row>
    <row r="43" spans="2:13" ht="30" customHeight="1" thickBot="1">
      <c r="B43" s="230" t="s">
        <v>213</v>
      </c>
      <c r="C43" s="231"/>
      <c r="D43" s="231"/>
      <c r="E43" s="231"/>
      <c r="F43" s="231"/>
      <c r="G43" s="231"/>
      <c r="H43" s="231"/>
      <c r="I43" s="231"/>
      <c r="J43" s="232"/>
      <c r="K43" s="126"/>
      <c r="L43" s="116"/>
      <c r="M43" s="127"/>
    </row>
    <row r="44" spans="2:13" ht="15" customHeight="1" thickBot="1">
      <c r="B44" s="128"/>
      <c r="C44" s="129"/>
      <c r="D44" s="128"/>
      <c r="E44" s="128"/>
      <c r="F44" s="128"/>
      <c r="G44" s="128"/>
      <c r="H44" s="130"/>
      <c r="I44" s="130"/>
      <c r="J44" s="130"/>
      <c r="K44" s="131"/>
      <c r="L44" s="116"/>
      <c r="M44" s="127"/>
    </row>
    <row r="45" spans="2:13" ht="15" customHeight="1">
      <c r="B45" s="132" t="s">
        <v>113</v>
      </c>
      <c r="C45" s="241" t="s">
        <v>114</v>
      </c>
      <c r="D45" s="242"/>
      <c r="E45" s="242"/>
      <c r="F45" s="242"/>
      <c r="G45" s="242"/>
      <c r="H45" s="242"/>
      <c r="I45" s="242"/>
      <c r="J45" s="243"/>
      <c r="K45" s="125"/>
      <c r="L45" s="116"/>
      <c r="M45" s="127"/>
    </row>
    <row r="46" spans="2:13" ht="30" customHeight="1">
      <c r="B46" s="205">
        <v>1</v>
      </c>
      <c r="C46" s="235" t="s">
        <v>214</v>
      </c>
      <c r="D46" s="236"/>
      <c r="E46" s="236"/>
      <c r="F46" s="236"/>
      <c r="G46" s="236"/>
      <c r="H46" s="236"/>
      <c r="I46" s="236"/>
      <c r="J46" s="237"/>
      <c r="K46" s="137"/>
      <c r="L46" s="116"/>
      <c r="M46" s="127"/>
    </row>
    <row r="47" spans="2:13" ht="30" customHeight="1">
      <c r="B47" s="205">
        <v>2</v>
      </c>
      <c r="C47" s="235" t="s">
        <v>215</v>
      </c>
      <c r="D47" s="236"/>
      <c r="E47" s="236"/>
      <c r="F47" s="236"/>
      <c r="G47" s="236"/>
      <c r="H47" s="236"/>
      <c r="I47" s="236"/>
      <c r="J47" s="237"/>
      <c r="K47" s="137"/>
      <c r="L47" s="116"/>
      <c r="M47" s="127"/>
    </row>
    <row r="48" spans="2:13" ht="30" customHeight="1">
      <c r="B48" s="205">
        <v>3</v>
      </c>
      <c r="C48" s="235" t="s">
        <v>216</v>
      </c>
      <c r="D48" s="236"/>
      <c r="E48" s="236"/>
      <c r="F48" s="236"/>
      <c r="G48" s="236"/>
      <c r="H48" s="236"/>
      <c r="I48" s="236"/>
      <c r="J48" s="237"/>
      <c r="K48" s="137"/>
      <c r="L48" s="116"/>
      <c r="M48" s="127"/>
    </row>
    <row r="49" spans="2:13" ht="30" customHeight="1">
      <c r="B49" s="205">
        <v>4</v>
      </c>
      <c r="C49" s="235" t="s">
        <v>217</v>
      </c>
      <c r="D49" s="236"/>
      <c r="E49" s="236"/>
      <c r="F49" s="236"/>
      <c r="G49" s="236"/>
      <c r="H49" s="236"/>
      <c r="I49" s="236"/>
      <c r="J49" s="237"/>
      <c r="K49" s="8"/>
      <c r="L49" s="8"/>
      <c r="M49" s="127"/>
    </row>
    <row r="50" spans="2:13" ht="30" customHeight="1">
      <c r="B50" s="205">
        <v>5</v>
      </c>
      <c r="C50" s="235" t="s">
        <v>218</v>
      </c>
      <c r="D50" s="236"/>
      <c r="E50" s="236"/>
      <c r="F50" s="236"/>
      <c r="G50" s="236"/>
      <c r="H50" s="236"/>
      <c r="I50" s="236"/>
      <c r="J50" s="237"/>
      <c r="K50" s="8"/>
      <c r="L50" s="8"/>
      <c r="M50" s="127"/>
    </row>
    <row r="51" spans="2:13" ht="30" customHeight="1">
      <c r="B51" s="205">
        <v>6</v>
      </c>
      <c r="C51" s="235" t="s">
        <v>219</v>
      </c>
      <c r="D51" s="236"/>
      <c r="E51" s="236"/>
      <c r="F51" s="236"/>
      <c r="G51" s="236"/>
      <c r="H51" s="236"/>
      <c r="I51" s="236"/>
      <c r="J51" s="237"/>
      <c r="K51" s="8"/>
      <c r="L51" s="8"/>
      <c r="M51" s="127"/>
    </row>
    <row r="52" spans="2:13" ht="30" customHeight="1">
      <c r="B52" s="205">
        <v>7</v>
      </c>
      <c r="C52" s="235" t="s">
        <v>220</v>
      </c>
      <c r="D52" s="236"/>
      <c r="E52" s="236"/>
      <c r="F52" s="236"/>
      <c r="G52" s="236"/>
      <c r="H52" s="236"/>
      <c r="I52" s="236"/>
      <c r="J52" s="237"/>
      <c r="K52" s="8"/>
      <c r="L52" s="8"/>
      <c r="M52" s="127"/>
    </row>
    <row r="53" spans="2:13" ht="30" customHeight="1">
      <c r="B53" s="205">
        <v>8</v>
      </c>
      <c r="C53" s="235" t="s">
        <v>221</v>
      </c>
      <c r="D53" s="236"/>
      <c r="E53" s="236"/>
      <c r="F53" s="236"/>
      <c r="G53" s="236"/>
      <c r="H53" s="236"/>
      <c r="I53" s="236"/>
      <c r="J53" s="237"/>
      <c r="K53" s="8"/>
      <c r="L53" s="8"/>
      <c r="M53" s="127"/>
    </row>
    <row r="54" spans="2:13" ht="30" customHeight="1">
      <c r="B54" s="205">
        <v>9</v>
      </c>
      <c r="C54" s="235" t="s">
        <v>222</v>
      </c>
      <c r="D54" s="236"/>
      <c r="E54" s="236"/>
      <c r="F54" s="236"/>
      <c r="G54" s="236"/>
      <c r="H54" s="236"/>
      <c r="I54" s="236"/>
      <c r="J54" s="237"/>
      <c r="K54" s="8"/>
      <c r="L54" s="8"/>
      <c r="M54" s="127"/>
    </row>
    <row r="55" spans="2:13" ht="30" customHeight="1">
      <c r="B55" s="205">
        <v>10</v>
      </c>
      <c r="C55" s="235" t="s">
        <v>223</v>
      </c>
      <c r="D55" s="236"/>
      <c r="E55" s="236"/>
      <c r="F55" s="236"/>
      <c r="G55" s="236"/>
      <c r="H55" s="236"/>
      <c r="I55" s="236"/>
      <c r="J55" s="237"/>
      <c r="K55" s="8"/>
      <c r="L55" s="8"/>
      <c r="M55" s="127"/>
    </row>
    <row r="56" spans="2:13" ht="30" customHeight="1">
      <c r="B56" s="205">
        <v>11</v>
      </c>
      <c r="C56" s="235" t="s">
        <v>224</v>
      </c>
      <c r="D56" s="236"/>
      <c r="E56" s="236"/>
      <c r="F56" s="236"/>
      <c r="G56" s="236"/>
      <c r="H56" s="236"/>
      <c r="I56" s="236"/>
      <c r="J56" s="237"/>
      <c r="K56" s="8"/>
      <c r="L56" s="8"/>
    </row>
    <row r="57" spans="2:13" ht="30" customHeight="1">
      <c r="B57" s="205">
        <v>12</v>
      </c>
      <c r="C57" s="235" t="s">
        <v>225</v>
      </c>
      <c r="D57" s="236"/>
      <c r="E57" s="236"/>
      <c r="F57" s="236"/>
      <c r="G57" s="236"/>
      <c r="H57" s="236"/>
      <c r="I57" s="236"/>
      <c r="J57" s="237"/>
      <c r="K57" s="8"/>
      <c r="L57" s="8"/>
    </row>
    <row r="58" spans="2:13" ht="30" customHeight="1">
      <c r="B58" s="205">
        <v>13</v>
      </c>
      <c r="C58" s="235" t="s">
        <v>226</v>
      </c>
      <c r="D58" s="236"/>
      <c r="E58" s="236"/>
      <c r="F58" s="236"/>
      <c r="G58" s="236"/>
      <c r="H58" s="236"/>
      <c r="I58" s="236"/>
      <c r="J58" s="237"/>
      <c r="K58" s="8"/>
      <c r="L58" s="8"/>
    </row>
    <row r="59" spans="2:13" ht="30" customHeight="1">
      <c r="B59" s="205">
        <v>14</v>
      </c>
      <c r="C59" s="235" t="s">
        <v>227</v>
      </c>
      <c r="D59" s="236"/>
      <c r="E59" s="236"/>
      <c r="F59" s="236"/>
      <c r="G59" s="236"/>
      <c r="H59" s="236"/>
      <c r="I59" s="236"/>
      <c r="J59" s="237"/>
      <c r="K59" s="8"/>
      <c r="L59" s="8"/>
    </row>
    <row r="60" spans="2:13" ht="30" customHeight="1">
      <c r="B60" s="205">
        <v>15</v>
      </c>
      <c r="C60" s="235" t="s">
        <v>228</v>
      </c>
      <c r="D60" s="236"/>
      <c r="E60" s="236"/>
      <c r="F60" s="236"/>
      <c r="G60" s="236"/>
      <c r="H60" s="236"/>
      <c r="I60" s="236"/>
      <c r="J60" s="237"/>
      <c r="K60" s="8"/>
      <c r="L60" s="8"/>
    </row>
    <row r="61" spans="2:13" ht="30" customHeight="1">
      <c r="B61" s="205">
        <v>16</v>
      </c>
      <c r="C61" s="235" t="s">
        <v>229</v>
      </c>
      <c r="D61" s="236"/>
      <c r="E61" s="236"/>
      <c r="F61" s="236"/>
      <c r="G61" s="236"/>
      <c r="H61" s="236"/>
      <c r="I61" s="236"/>
      <c r="J61" s="237"/>
      <c r="K61" s="8"/>
      <c r="L61" s="8"/>
    </row>
    <row r="62" spans="2:13" ht="30" customHeight="1">
      <c r="B62" s="205">
        <v>17</v>
      </c>
      <c r="C62" s="235" t="s">
        <v>230</v>
      </c>
      <c r="D62" s="236"/>
      <c r="E62" s="236"/>
      <c r="F62" s="236"/>
      <c r="G62" s="236"/>
      <c r="H62" s="236"/>
      <c r="I62" s="236"/>
      <c r="J62" s="237"/>
      <c r="K62" s="8"/>
      <c r="L62" s="8"/>
    </row>
    <row r="63" spans="2:13" ht="30" customHeight="1">
      <c r="B63" s="205">
        <v>18</v>
      </c>
      <c r="C63" s="235" t="s">
        <v>231</v>
      </c>
      <c r="D63" s="236"/>
      <c r="E63" s="236"/>
      <c r="F63" s="236"/>
      <c r="G63" s="236"/>
      <c r="H63" s="236"/>
      <c r="I63" s="236"/>
      <c r="J63" s="237"/>
      <c r="K63" s="8"/>
      <c r="L63" s="8"/>
    </row>
    <row r="64" spans="2:13" ht="30" customHeight="1">
      <c r="B64" s="205">
        <v>19</v>
      </c>
      <c r="C64" s="235" t="s">
        <v>232</v>
      </c>
      <c r="D64" s="236"/>
      <c r="E64" s="236"/>
      <c r="F64" s="236"/>
      <c r="G64" s="236"/>
      <c r="H64" s="236"/>
      <c r="I64" s="236"/>
      <c r="J64" s="237"/>
      <c r="K64" s="8"/>
      <c r="L64" s="8"/>
    </row>
    <row r="65" spans="2:12" ht="30" customHeight="1" thickBot="1">
      <c r="B65" s="206">
        <v>20</v>
      </c>
      <c r="C65" s="244" t="s">
        <v>233</v>
      </c>
      <c r="D65" s="245"/>
      <c r="E65" s="245"/>
      <c r="F65" s="245"/>
      <c r="G65" s="245"/>
      <c r="H65" s="245"/>
      <c r="I65" s="245"/>
      <c r="J65" s="246"/>
      <c r="K65" s="8"/>
      <c r="L65" s="8"/>
    </row>
  </sheetData>
  <mergeCells count="24">
    <mergeCell ref="C65:J65"/>
    <mergeCell ref="C54:J54"/>
    <mergeCell ref="C55:J55"/>
    <mergeCell ref="C56:J56"/>
    <mergeCell ref="C57:J57"/>
    <mergeCell ref="C58:J58"/>
    <mergeCell ref="C59:J59"/>
    <mergeCell ref="C60:J60"/>
    <mergeCell ref="C61:J61"/>
    <mergeCell ref="C62:J62"/>
    <mergeCell ref="C63:J63"/>
    <mergeCell ref="C64:J64"/>
    <mergeCell ref="C53:J53"/>
    <mergeCell ref="B3:C3"/>
    <mergeCell ref="B41:J41"/>
    <mergeCell ref="B43:J43"/>
    <mergeCell ref="C45:J45"/>
    <mergeCell ref="C46:J46"/>
    <mergeCell ref="C47:J47"/>
    <mergeCell ref="C48:J48"/>
    <mergeCell ref="C49:J49"/>
    <mergeCell ref="C50:J50"/>
    <mergeCell ref="C51:J51"/>
    <mergeCell ref="C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2BFE0"/>
    <pageSetUpPr fitToPage="1"/>
  </sheetPr>
  <dimension ref="A1:U44"/>
  <sheetViews>
    <sheetView zoomScale="85" zoomScaleNormal="85" workbookViewId="0">
      <selection activeCell="T35" sqref="T35"/>
    </sheetView>
  </sheetViews>
  <sheetFormatPr defaultColWidth="8.85546875" defaultRowHeight="15"/>
  <cols>
    <col min="1" max="1" width="9.7109375" style="140" customWidth="1"/>
    <col min="2" max="2" width="8.85546875" style="140"/>
    <col min="3" max="6" width="11.42578125" style="140" customWidth="1"/>
    <col min="7" max="7" width="12.140625" style="140" customWidth="1"/>
    <col min="8" max="11" width="11.42578125" style="140" customWidth="1"/>
    <col min="12" max="14" width="12.28515625" style="140" customWidth="1"/>
    <col min="15" max="15" width="11.85546875" style="140" customWidth="1"/>
    <col min="16" max="16" width="11.140625" style="140" customWidth="1"/>
    <col min="17" max="18" width="12" style="140" customWidth="1"/>
    <col min="19" max="20" width="12.140625" style="140" customWidth="1"/>
    <col min="21" max="21" width="11.140625" style="140" customWidth="1"/>
    <col min="22" max="16384" width="8.85546875" style="140"/>
  </cols>
  <sheetData>
    <row r="1" spans="1:21" ht="15.75">
      <c r="A1" s="139" t="s">
        <v>137</v>
      </c>
    </row>
    <row r="3" spans="1:21">
      <c r="A3" s="140" t="s">
        <v>138</v>
      </c>
      <c r="B3" s="141"/>
    </row>
    <row r="4" spans="1:21">
      <c r="A4" s="140" t="s">
        <v>139</v>
      </c>
      <c r="B4" s="142">
        <v>248.7</v>
      </c>
    </row>
    <row r="5" spans="1:21">
      <c r="A5" s="140" t="s">
        <v>140</v>
      </c>
      <c r="B5" s="142">
        <v>257.10000000000002</v>
      </c>
    </row>
    <row r="6" spans="1:21">
      <c r="A6" s="140" t="s">
        <v>141</v>
      </c>
      <c r="B6" s="142">
        <v>261.10000000000002</v>
      </c>
    </row>
    <row r="7" spans="1:21">
      <c r="A7" s="140" t="s">
        <v>142</v>
      </c>
      <c r="B7" s="142">
        <v>269.3</v>
      </c>
      <c r="C7" s="143">
        <f>+(B7-$B$5)/$B$5</f>
        <v>4.7452353169972726E-2</v>
      </c>
    </row>
    <row r="8" spans="1:21">
      <c r="A8" s="140" t="s">
        <v>143</v>
      </c>
      <c r="B8" s="142">
        <f>+B7*1.035</f>
        <v>278.72550000000001</v>
      </c>
      <c r="C8" s="143">
        <f>+(B8-$B$5)/$B$5</f>
        <v>8.4113185530921772E-2</v>
      </c>
    </row>
    <row r="9" spans="1:21">
      <c r="A9" s="140" t="s">
        <v>144</v>
      </c>
      <c r="B9" s="142">
        <f>+B8*1.03</f>
        <v>287.087265</v>
      </c>
      <c r="C9" s="143"/>
    </row>
    <row r="10" spans="1:21">
      <c r="A10" s="140" t="s">
        <v>145</v>
      </c>
      <c r="B10" s="142">
        <f>+B9*1.03</f>
        <v>295.69988295000002</v>
      </c>
      <c r="C10" s="143"/>
    </row>
    <row r="11" spans="1:21">
      <c r="B11" s="142"/>
      <c r="C11" s="143"/>
    </row>
    <row r="12" spans="1:21">
      <c r="B12" s="142"/>
      <c r="C12" s="247" t="s">
        <v>146</v>
      </c>
      <c r="D12" s="247"/>
      <c r="E12" s="152"/>
      <c r="F12" s="152"/>
      <c r="G12" s="247" t="s">
        <v>147</v>
      </c>
      <c r="H12" s="247"/>
      <c r="I12" s="152"/>
      <c r="J12" s="152"/>
      <c r="O12" s="247" t="s">
        <v>148</v>
      </c>
      <c r="P12" s="247"/>
    </row>
    <row r="13" spans="1:21">
      <c r="C13" s="144" t="s">
        <v>149</v>
      </c>
      <c r="D13" s="141" t="s">
        <v>162</v>
      </c>
      <c r="E13" s="152" t="s">
        <v>161</v>
      </c>
      <c r="F13" s="167" t="s">
        <v>150</v>
      </c>
      <c r="G13" s="144" t="s">
        <v>149</v>
      </c>
      <c r="H13" s="152" t="s">
        <v>162</v>
      </c>
      <c r="I13" s="152" t="s">
        <v>161</v>
      </c>
      <c r="J13" s="167" t="s">
        <v>150</v>
      </c>
      <c r="K13" s="144" t="s">
        <v>149</v>
      </c>
      <c r="L13" s="153" t="s">
        <v>162</v>
      </c>
      <c r="M13" s="152" t="s">
        <v>161</v>
      </c>
      <c r="N13" s="167" t="s">
        <v>150</v>
      </c>
      <c r="O13" s="144" t="s">
        <v>151</v>
      </c>
      <c r="P13" s="167" t="s">
        <v>151</v>
      </c>
      <c r="Q13" s="144" t="s">
        <v>149</v>
      </c>
      <c r="R13" s="167" t="s">
        <v>150</v>
      </c>
      <c r="S13" s="144" t="s">
        <v>149</v>
      </c>
      <c r="T13" s="167" t="s">
        <v>150</v>
      </c>
    </row>
    <row r="14" spans="1:21">
      <c r="A14" s="145" t="s">
        <v>152</v>
      </c>
      <c r="C14" s="144" t="s">
        <v>141</v>
      </c>
      <c r="D14" s="141" t="s">
        <v>141</v>
      </c>
      <c r="E14" s="152" t="s">
        <v>141</v>
      </c>
      <c r="F14" s="167" t="s">
        <v>141</v>
      </c>
      <c r="G14" s="144" t="s">
        <v>142</v>
      </c>
      <c r="H14" s="141" t="s">
        <v>142</v>
      </c>
      <c r="I14" s="152" t="s">
        <v>142</v>
      </c>
      <c r="J14" s="167" t="s">
        <v>142</v>
      </c>
      <c r="K14" s="144" t="s">
        <v>143</v>
      </c>
      <c r="L14" s="141" t="s">
        <v>143</v>
      </c>
      <c r="M14" s="152" t="s">
        <v>143</v>
      </c>
      <c r="N14" s="167" t="s">
        <v>143</v>
      </c>
      <c r="O14" s="144" t="s">
        <v>149</v>
      </c>
      <c r="P14" s="167" t="s">
        <v>150</v>
      </c>
      <c r="Q14" s="144" t="s">
        <v>144</v>
      </c>
      <c r="R14" s="167" t="s">
        <v>144</v>
      </c>
      <c r="S14" s="144" t="s">
        <v>145</v>
      </c>
      <c r="T14" s="167" t="s">
        <v>145</v>
      </c>
    </row>
    <row r="15" spans="1:21" s="146" customFormat="1">
      <c r="A15" s="146" t="s">
        <v>153</v>
      </c>
      <c r="C15" s="154">
        <v>25.251000000000001</v>
      </c>
      <c r="D15" s="155">
        <v>1236.046</v>
      </c>
      <c r="E15" s="156">
        <v>1.4550000000000001</v>
      </c>
      <c r="F15" s="155">
        <f>+D15-E15</f>
        <v>1234.5910000000001</v>
      </c>
      <c r="G15" s="156">
        <f t="shared" ref="G15:N15" si="0">+C21</f>
        <v>25.513999999999999</v>
      </c>
      <c r="H15" s="155">
        <f t="shared" si="0"/>
        <v>1259.0550000000001</v>
      </c>
      <c r="I15" s="156">
        <f t="shared" si="0"/>
        <v>1.2850000000000001</v>
      </c>
      <c r="J15" s="155">
        <f t="shared" si="0"/>
        <v>1257.77</v>
      </c>
      <c r="K15" s="156">
        <f t="shared" si="0"/>
        <v>52.286999999999992</v>
      </c>
      <c r="L15" s="155">
        <f t="shared" si="0"/>
        <v>1279.5250000000001</v>
      </c>
      <c r="M15" s="156">
        <f t="shared" si="0"/>
        <v>1.2510000000000001</v>
      </c>
      <c r="N15" s="155">
        <f t="shared" si="0"/>
        <v>1278.2740000000001</v>
      </c>
      <c r="O15" s="159"/>
      <c r="P15" s="160"/>
      <c r="Q15" s="157">
        <f>+K21</f>
        <v>54.330044999999991</v>
      </c>
      <c r="R15" s="158">
        <f>+N21</f>
        <v>1330.4315899999999</v>
      </c>
      <c r="S15" s="157">
        <f>+Q21</f>
        <v>54.989268300970863</v>
      </c>
      <c r="T15" s="157">
        <f>+R21</f>
        <v>1342.0403278640777</v>
      </c>
      <c r="U15" s="140"/>
    </row>
    <row r="16" spans="1:21">
      <c r="A16" s="140" t="s">
        <v>24</v>
      </c>
      <c r="C16" s="154">
        <v>-0.27400000000000002</v>
      </c>
      <c r="D16" s="155">
        <v>-5.3079999999999998</v>
      </c>
      <c r="E16" s="156">
        <v>-0.16700000000000001</v>
      </c>
      <c r="F16" s="155">
        <f t="shared" ref="F16:F19" si="1">+D16-E16</f>
        <v>-5.141</v>
      </c>
      <c r="G16" s="154">
        <v>-7.9000000000000001E-2</v>
      </c>
      <c r="H16" s="155">
        <v>-0.35499999999999998</v>
      </c>
      <c r="I16" s="156">
        <v>-7.1999999999999995E-2</v>
      </c>
      <c r="J16" s="155">
        <f t="shared" ref="J16:J19" si="2">+H16-I16</f>
        <v>-0.28299999999999997</v>
      </c>
      <c r="K16" s="161"/>
      <c r="L16" s="162"/>
      <c r="M16" s="168"/>
      <c r="N16" s="162"/>
      <c r="O16" s="159">
        <f>+C16+G16</f>
        <v>-0.35300000000000004</v>
      </c>
      <c r="P16" s="160">
        <f>+F16+J16</f>
        <v>-5.4240000000000004</v>
      </c>
      <c r="Q16" s="161"/>
      <c r="R16" s="162"/>
      <c r="S16" s="161"/>
      <c r="T16" s="161"/>
    </row>
    <row r="17" spans="1:21">
      <c r="A17" s="140" t="s">
        <v>30</v>
      </c>
      <c r="C17" s="154"/>
      <c r="D17" s="155">
        <v>-2.3E-2</v>
      </c>
      <c r="E17" s="156">
        <v>-2.3E-2</v>
      </c>
      <c r="F17" s="155">
        <f t="shared" si="1"/>
        <v>0</v>
      </c>
      <c r="G17" s="154">
        <f>0.433-0.022+5.675+18.909</f>
        <v>24.994999999999997</v>
      </c>
      <c r="H17" s="155">
        <f>-18.909-8.038</f>
        <v>-26.946999999999999</v>
      </c>
      <c r="I17" s="156"/>
      <c r="J17" s="155">
        <f t="shared" si="2"/>
        <v>-26.946999999999999</v>
      </c>
      <c r="K17" s="154"/>
      <c r="L17" s="155"/>
      <c r="M17" s="156"/>
      <c r="N17" s="155"/>
      <c r="O17" s="159">
        <f>+C17+G17</f>
        <v>24.994999999999997</v>
      </c>
      <c r="P17" s="160">
        <f t="shared" ref="P17:P19" si="3">+F17+J17</f>
        <v>-26.946999999999999</v>
      </c>
      <c r="Q17" s="161"/>
      <c r="R17" s="162"/>
      <c r="S17" s="161"/>
      <c r="T17" s="161"/>
    </row>
    <row r="18" spans="1:21">
      <c r="A18" s="140" t="s">
        <v>35</v>
      </c>
      <c r="C18" s="154">
        <v>0.38900000000000001</v>
      </c>
      <c r="D18" s="155">
        <v>19.145</v>
      </c>
      <c r="E18" s="156">
        <v>0.02</v>
      </c>
      <c r="F18" s="155">
        <f t="shared" si="1"/>
        <v>19.125</v>
      </c>
      <c r="G18" s="154">
        <v>1.5820000000000001</v>
      </c>
      <c r="H18" s="155">
        <v>38.683999999999997</v>
      </c>
      <c r="I18" s="156">
        <v>3.7999999999999999E-2</v>
      </c>
      <c r="J18" s="155">
        <f t="shared" si="2"/>
        <v>38.646000000000001</v>
      </c>
      <c r="K18" s="154">
        <f>+K15*($B$8/$B$7-1)</f>
        <v>1.8300449999999955</v>
      </c>
      <c r="L18" s="155">
        <f>+L15*($B$8/$B$7-1)</f>
        <v>44.7833749999999</v>
      </c>
      <c r="M18" s="154">
        <f>+M15*($B$8/$B$7-1)</f>
        <v>4.3784999999999907E-2</v>
      </c>
      <c r="N18" s="155">
        <f>+N15*($B$8/$B$7-1)</f>
        <v>44.7395899999999</v>
      </c>
      <c r="O18" s="159">
        <f>+C18+G18+K18</f>
        <v>3.8010449999999958</v>
      </c>
      <c r="P18" s="160">
        <f>+F18+J18+N18</f>
        <v>102.51058999999989</v>
      </c>
      <c r="Q18" s="161"/>
      <c r="R18" s="162"/>
      <c r="S18" s="161"/>
      <c r="T18" s="161"/>
    </row>
    <row r="19" spans="1:21">
      <c r="A19" s="140" t="s">
        <v>40</v>
      </c>
      <c r="C19" s="154">
        <f>0.114+0.034</f>
        <v>0.14800000000000002</v>
      </c>
      <c r="D19" s="155">
        <f>9.229-0.034</f>
        <v>9.1949999999999985</v>
      </c>
      <c r="E19" s="156"/>
      <c r="F19" s="155">
        <f t="shared" si="1"/>
        <v>9.1949999999999985</v>
      </c>
      <c r="G19" s="154">
        <f>0.309-0.034</f>
        <v>0.27500000000000002</v>
      </c>
      <c r="H19" s="155">
        <f>9.054+0.034</f>
        <v>9.088000000000001</v>
      </c>
      <c r="I19" s="156"/>
      <c r="J19" s="155">
        <f t="shared" si="2"/>
        <v>9.088000000000001</v>
      </c>
      <c r="K19" s="163">
        <v>0.21299999999999999</v>
      </c>
      <c r="L19" s="164">
        <v>7.4180000000000001</v>
      </c>
      <c r="M19" s="169"/>
      <c r="N19" s="164">
        <f t="shared" ref="N19" si="4">+L19-M19</f>
        <v>7.4180000000000001</v>
      </c>
      <c r="O19" s="159">
        <f>+C19+G19</f>
        <v>0.42300000000000004</v>
      </c>
      <c r="P19" s="160">
        <f t="shared" si="3"/>
        <v>18.283000000000001</v>
      </c>
      <c r="Q19" s="163">
        <f>0.679/B9*B8</f>
        <v>0.65922330097087389</v>
      </c>
      <c r="R19" s="164">
        <f>11.957/B9*B8</f>
        <v>11.608737864077671</v>
      </c>
      <c r="S19" s="163">
        <f>0.361/B10*B8</f>
        <v>0.34027712319728526</v>
      </c>
      <c r="T19" s="163">
        <f>8.135/B10*B8</f>
        <v>7.6680177208030909</v>
      </c>
      <c r="U19" s="140" t="s">
        <v>158</v>
      </c>
    </row>
    <row r="20" spans="1:21">
      <c r="C20" s="165"/>
      <c r="D20" s="166"/>
      <c r="E20" s="165"/>
      <c r="F20" s="166"/>
      <c r="G20" s="165"/>
      <c r="H20" s="166"/>
      <c r="I20" s="165"/>
      <c r="J20" s="166"/>
      <c r="K20" s="165"/>
      <c r="L20" s="166"/>
      <c r="M20" s="170"/>
      <c r="N20" s="166"/>
      <c r="O20" s="159"/>
      <c r="P20" s="160"/>
      <c r="Q20" s="165"/>
      <c r="R20" s="166"/>
      <c r="S20" s="165"/>
      <c r="T20" s="165"/>
    </row>
    <row r="21" spans="1:21">
      <c r="A21" s="140" t="s">
        <v>154</v>
      </c>
      <c r="C21" s="154">
        <f>SUM(C15:C20)</f>
        <v>25.513999999999999</v>
      </c>
      <c r="D21" s="155">
        <f t="shared" ref="D21:N21" si="5">SUM(D15:D20)</f>
        <v>1259.0550000000001</v>
      </c>
      <c r="E21" s="156">
        <f>SUM(E15:E20)</f>
        <v>1.2850000000000001</v>
      </c>
      <c r="F21" s="155">
        <f>SUM(F15:F20)</f>
        <v>1257.77</v>
      </c>
      <c r="G21" s="154">
        <f t="shared" si="5"/>
        <v>52.286999999999992</v>
      </c>
      <c r="H21" s="155">
        <f t="shared" si="5"/>
        <v>1279.5250000000001</v>
      </c>
      <c r="I21" s="156">
        <f>SUM(I15:I20)</f>
        <v>1.2510000000000001</v>
      </c>
      <c r="J21" s="155">
        <f>SUM(J15:J20)</f>
        <v>1278.2740000000001</v>
      </c>
      <c r="K21" s="154">
        <f t="shared" si="5"/>
        <v>54.330044999999991</v>
      </c>
      <c r="L21" s="155">
        <f t="shared" si="5"/>
        <v>1331.726375</v>
      </c>
      <c r="M21" s="156">
        <f>SUM(M15:M20)</f>
        <v>1.2947850000000001</v>
      </c>
      <c r="N21" s="155">
        <f t="shared" si="5"/>
        <v>1330.4315899999999</v>
      </c>
      <c r="O21" s="159"/>
      <c r="P21" s="160"/>
      <c r="Q21" s="154">
        <f t="shared" ref="Q21:T21" si="6">SUM(Q15:Q20)</f>
        <v>54.989268300970863</v>
      </c>
      <c r="R21" s="155">
        <f t="shared" si="6"/>
        <v>1342.0403278640777</v>
      </c>
      <c r="S21" s="154">
        <f t="shared" si="6"/>
        <v>55.329545424168145</v>
      </c>
      <c r="T21" s="154">
        <f t="shared" si="6"/>
        <v>1349.7083455848808</v>
      </c>
    </row>
    <row r="22" spans="1:21">
      <c r="C22" s="154"/>
      <c r="D22" s="155"/>
      <c r="E22" s="156"/>
      <c r="F22" s="155"/>
      <c r="G22" s="154"/>
      <c r="H22" s="155"/>
      <c r="I22" s="156"/>
      <c r="J22" s="155"/>
      <c r="K22" s="154"/>
      <c r="L22" s="155"/>
      <c r="M22" s="156"/>
      <c r="N22" s="155"/>
      <c r="O22" s="159"/>
      <c r="P22" s="160"/>
      <c r="Q22" s="154"/>
      <c r="R22" s="155"/>
      <c r="S22" s="154"/>
      <c r="T22" s="154"/>
    </row>
    <row r="23" spans="1:21">
      <c r="A23" s="140" t="s">
        <v>155</v>
      </c>
      <c r="C23" s="154">
        <v>-13.641999999999999</v>
      </c>
      <c r="D23" s="155">
        <v>-110.444</v>
      </c>
      <c r="E23" s="156">
        <v>-0.86499999999999999</v>
      </c>
      <c r="F23" s="155">
        <f>+D23-E23</f>
        <v>-109.57900000000001</v>
      </c>
      <c r="G23" s="154">
        <f t="shared" ref="G23:N23" si="7">+C28</f>
        <v>-13.986999999999998</v>
      </c>
      <c r="H23" s="155">
        <f t="shared" si="7"/>
        <v>-112.42499999999998</v>
      </c>
      <c r="I23" s="156">
        <f t="shared" si="7"/>
        <v>-0.77899999999999991</v>
      </c>
      <c r="J23" s="155">
        <f t="shared" si="7"/>
        <v>-111.646</v>
      </c>
      <c r="K23" s="154">
        <f t="shared" si="7"/>
        <v>-18.487000000000002</v>
      </c>
      <c r="L23" s="155">
        <f t="shared" si="7"/>
        <v>-117.50899999999999</v>
      </c>
      <c r="M23" s="156">
        <f t="shared" si="7"/>
        <v>-0.83499999999999985</v>
      </c>
      <c r="N23" s="155">
        <f t="shared" si="7"/>
        <v>-116.67400000000002</v>
      </c>
      <c r="O23" s="159"/>
      <c r="P23" s="160"/>
      <c r="Q23" s="154">
        <f>+K28</f>
        <v>-20.018673825740517</v>
      </c>
      <c r="R23" s="155">
        <f>+N28</f>
        <v>-126.16778822718921</v>
      </c>
      <c r="S23" s="154">
        <f>+Q28</f>
        <v>-20.937868346573218</v>
      </c>
      <c r="T23" s="154">
        <f>+R28</f>
        <v>-131.798739517456</v>
      </c>
    </row>
    <row r="24" spans="1:21">
      <c r="A24" s="140" t="s">
        <v>24</v>
      </c>
      <c r="C24" s="154">
        <v>0.247</v>
      </c>
      <c r="D24" s="155">
        <v>4.7839999999999998</v>
      </c>
      <c r="E24" s="156">
        <v>0.26800000000000002</v>
      </c>
      <c r="F24" s="155">
        <f>+D24-E24</f>
        <v>4.516</v>
      </c>
      <c r="G24" s="154">
        <v>7.4999999999999997E-2</v>
      </c>
      <c r="H24" s="155">
        <v>0.317</v>
      </c>
      <c r="I24" s="156">
        <v>6.2E-2</v>
      </c>
      <c r="J24" s="155">
        <f t="shared" ref="J24:J25" si="8">+H24-I24</f>
        <v>0.255</v>
      </c>
      <c r="K24" s="161"/>
      <c r="L24" s="162"/>
      <c r="M24" s="168"/>
      <c r="N24" s="162"/>
      <c r="O24" s="159">
        <f>+C24+G24</f>
        <v>0.32200000000000001</v>
      </c>
      <c r="P24" s="160">
        <f t="shared" ref="P24:P27" si="9">+F24+J24</f>
        <v>4.7709999999999999</v>
      </c>
      <c r="Q24" s="161"/>
      <c r="R24" s="162"/>
      <c r="S24" s="161"/>
      <c r="T24" s="161"/>
    </row>
    <row r="25" spans="1:21">
      <c r="A25" s="140" t="s">
        <v>30</v>
      </c>
      <c r="C25" s="154"/>
      <c r="D25" s="155">
        <v>3.6999999999999998E-2</v>
      </c>
      <c r="E25" s="156">
        <v>2.4E-2</v>
      </c>
      <c r="F25" s="155">
        <f t="shared" ref="F25:F27" si="10">+D25-E25</f>
        <v>1.2999999999999998E-2</v>
      </c>
      <c r="G25" s="154">
        <f>-0.244-0.003-3.292</f>
        <v>-3.5389999999999997</v>
      </c>
      <c r="H25" s="155">
        <v>3.7280000000000002</v>
      </c>
      <c r="I25" s="156"/>
      <c r="J25" s="155">
        <f t="shared" si="8"/>
        <v>3.7280000000000002</v>
      </c>
      <c r="K25" s="161"/>
      <c r="L25" s="162"/>
      <c r="M25" s="168"/>
      <c r="N25" s="162"/>
      <c r="O25" s="159">
        <f>+C25+G25</f>
        <v>-3.5389999999999997</v>
      </c>
      <c r="P25" s="160">
        <f t="shared" si="9"/>
        <v>3.7410000000000001</v>
      </c>
      <c r="Q25" s="161"/>
      <c r="R25" s="162"/>
      <c r="S25" s="161"/>
      <c r="T25" s="161"/>
    </row>
    <row r="26" spans="1:21">
      <c r="A26" s="140" t="s">
        <v>35</v>
      </c>
      <c r="C26" s="154">
        <v>-0.20899999999999999</v>
      </c>
      <c r="D26" s="155">
        <v>-1.645</v>
      </c>
      <c r="E26" s="156">
        <v>-0.01</v>
      </c>
      <c r="F26" s="155">
        <f t="shared" si="10"/>
        <v>-1.635</v>
      </c>
      <c r="G26" s="154">
        <v>-0.54800000000000004</v>
      </c>
      <c r="H26" s="155">
        <v>-3.41</v>
      </c>
      <c r="I26" s="156">
        <v>-2.1999999999999999E-2</v>
      </c>
      <c r="J26" s="155">
        <f t="shared" ref="J26:J27" si="11">+H26-I26</f>
        <v>-3.3880000000000003</v>
      </c>
      <c r="K26" s="154">
        <f>K23*($B$8/$B$7-1)</f>
        <v>-0.64704499999999854</v>
      </c>
      <c r="L26" s="155">
        <f>L23*($B$8/$B$7-1)</f>
        <v>-4.1128149999999906</v>
      </c>
      <c r="M26" s="154">
        <f>M23*($B$8/$B$7-1)</f>
        <v>-2.9224999999999928E-2</v>
      </c>
      <c r="N26" s="155">
        <f>N23*($B$8/$B$7-1)</f>
        <v>-4.0835899999999912</v>
      </c>
      <c r="O26" s="159">
        <f>+C26+G26+K26</f>
        <v>-1.4040449999999987</v>
      </c>
      <c r="P26" s="160">
        <f>+F26+J26+N26</f>
        <v>-9.1065899999999917</v>
      </c>
      <c r="Q26" s="161"/>
      <c r="R26" s="162"/>
      <c r="S26" s="161"/>
      <c r="T26" s="161"/>
    </row>
    <row r="27" spans="1:21">
      <c r="A27" s="140" t="s">
        <v>44</v>
      </c>
      <c r="C27" s="165">
        <v>-0.38300000000000001</v>
      </c>
      <c r="D27" s="166">
        <v>-5.157</v>
      </c>
      <c r="E27" s="165">
        <v>-0.19600000000000001</v>
      </c>
      <c r="F27" s="166">
        <f t="shared" si="10"/>
        <v>-4.9610000000000003</v>
      </c>
      <c r="G27" s="165">
        <v>-0.48799999999999999</v>
      </c>
      <c r="H27" s="166">
        <v>-5.7190000000000003</v>
      </c>
      <c r="I27" s="165">
        <v>-9.6000000000000002E-2</v>
      </c>
      <c r="J27" s="166">
        <f t="shared" si="11"/>
        <v>-5.6230000000000002</v>
      </c>
      <c r="K27" s="165">
        <f>-K15/G42</f>
        <v>-0.88462882574051727</v>
      </c>
      <c r="L27" s="166">
        <f>-L15/H42</f>
        <v>-5.5651344760992929</v>
      </c>
      <c r="M27" s="165">
        <f>-M15/I42</f>
        <v>-0.12023709454972673</v>
      </c>
      <c r="N27" s="166">
        <f>-N15/J42</f>
        <v>-5.4101982271891949</v>
      </c>
      <c r="O27" s="159">
        <f>+C27+G27</f>
        <v>-0.871</v>
      </c>
      <c r="P27" s="160">
        <f t="shared" si="9"/>
        <v>-10.584</v>
      </c>
      <c r="Q27" s="165">
        <f>-Q15/G42</f>
        <v>-0.91919452083270137</v>
      </c>
      <c r="R27" s="166">
        <f>-R15/J42</f>
        <v>-5.6309512902667977</v>
      </c>
      <c r="S27" s="165">
        <f>-S15/G42</f>
        <v>-0.93034773166213602</v>
      </c>
      <c r="T27" s="165">
        <f>-T15/J42</f>
        <v>-5.6800843971062838</v>
      </c>
    </row>
    <row r="28" spans="1:21">
      <c r="C28" s="154">
        <f>SUM(C23:C27)</f>
        <v>-13.986999999999998</v>
      </c>
      <c r="D28" s="155">
        <f t="shared" ref="D28:N28" si="12">SUM(D23:D27)</f>
        <v>-112.42499999999998</v>
      </c>
      <c r="E28" s="156">
        <f>SUM(E23:E27)</f>
        <v>-0.77899999999999991</v>
      </c>
      <c r="F28" s="155">
        <f>SUM(F23:F27)</f>
        <v>-111.646</v>
      </c>
      <c r="G28" s="154">
        <f t="shared" si="12"/>
        <v>-18.487000000000002</v>
      </c>
      <c r="H28" s="155">
        <f t="shared" si="12"/>
        <v>-117.50899999999999</v>
      </c>
      <c r="I28" s="156">
        <f>SUM(I23:I27)</f>
        <v>-0.83499999999999985</v>
      </c>
      <c r="J28" s="155">
        <f>SUM(J23:J27)</f>
        <v>-116.67400000000002</v>
      </c>
      <c r="K28" s="154">
        <f t="shared" si="12"/>
        <v>-20.018673825740517</v>
      </c>
      <c r="L28" s="155">
        <f t="shared" si="12"/>
        <v>-127.18694947609926</v>
      </c>
      <c r="M28" s="154">
        <f t="shared" si="12"/>
        <v>-0.98446209454972655</v>
      </c>
      <c r="N28" s="155">
        <f t="shared" si="12"/>
        <v>-126.16778822718921</v>
      </c>
      <c r="O28" s="159"/>
      <c r="P28" s="160"/>
      <c r="Q28" s="154">
        <f t="shared" ref="Q28:T28" si="13">SUM(Q23:Q27)</f>
        <v>-20.937868346573218</v>
      </c>
      <c r="R28" s="155">
        <f t="shared" si="13"/>
        <v>-131.798739517456</v>
      </c>
      <c r="S28" s="154">
        <f t="shared" si="13"/>
        <v>-21.868216078235353</v>
      </c>
      <c r="T28" s="154">
        <f t="shared" si="13"/>
        <v>-137.47882391456227</v>
      </c>
    </row>
    <row r="29" spans="1:21">
      <c r="C29" s="154"/>
      <c r="D29" s="155"/>
      <c r="E29" s="156"/>
      <c r="F29" s="155"/>
      <c r="G29" s="154"/>
      <c r="H29" s="155"/>
      <c r="I29" s="156"/>
      <c r="J29" s="155"/>
      <c r="K29" s="154"/>
      <c r="L29" s="155"/>
      <c r="M29" s="156"/>
      <c r="N29" s="155"/>
      <c r="O29" s="159"/>
      <c r="P29" s="160"/>
      <c r="Q29" s="154"/>
      <c r="R29" s="155"/>
      <c r="S29" s="154"/>
      <c r="T29" s="154"/>
    </row>
    <row r="30" spans="1:21">
      <c r="A30" s="140" t="s">
        <v>156</v>
      </c>
      <c r="C30" s="154">
        <f>+C21+C28</f>
        <v>11.527000000000001</v>
      </c>
      <c r="D30" s="155">
        <f t="shared" ref="D30:N30" si="14">+D21+D28</f>
        <v>1146.6300000000001</v>
      </c>
      <c r="E30" s="154">
        <f>+E21+E28</f>
        <v>0.50600000000000023</v>
      </c>
      <c r="F30" s="155">
        <f>+F21+F28</f>
        <v>1146.124</v>
      </c>
      <c r="G30" s="154">
        <f t="shared" si="14"/>
        <v>33.79999999999999</v>
      </c>
      <c r="H30" s="155">
        <f t="shared" si="14"/>
        <v>1162.0160000000001</v>
      </c>
      <c r="I30" s="154">
        <f>+I21+I28</f>
        <v>0.41600000000000026</v>
      </c>
      <c r="J30" s="155">
        <f>+J21+J28</f>
        <v>1161.6000000000001</v>
      </c>
      <c r="K30" s="154">
        <f t="shared" si="14"/>
        <v>34.311371174259477</v>
      </c>
      <c r="L30" s="155">
        <f t="shared" si="14"/>
        <v>1204.5394255239007</v>
      </c>
      <c r="M30" s="154">
        <f t="shared" si="14"/>
        <v>0.31032290545027352</v>
      </c>
      <c r="N30" s="155">
        <f t="shared" si="14"/>
        <v>1204.2638017728107</v>
      </c>
      <c r="O30" s="159"/>
      <c r="P30" s="160"/>
      <c r="Q30" s="154">
        <f t="shared" ref="Q30:T30" si="15">+Q21+Q28</f>
        <v>34.051399954397645</v>
      </c>
      <c r="R30" s="155">
        <f t="shared" si="15"/>
        <v>1210.2415883466217</v>
      </c>
      <c r="S30" s="154">
        <f t="shared" si="15"/>
        <v>33.461329345932796</v>
      </c>
      <c r="T30" s="154">
        <f t="shared" si="15"/>
        <v>1212.2295216703185</v>
      </c>
    </row>
    <row r="31" spans="1:21">
      <c r="A31" s="148"/>
      <c r="C31" s="147"/>
      <c r="D31" s="147"/>
      <c r="E31" s="147"/>
      <c r="F31" s="147"/>
      <c r="G31" s="147"/>
      <c r="H31" s="147">
        <f>+H30+G30</f>
        <v>1195.816</v>
      </c>
      <c r="I31" s="147"/>
      <c r="J31" s="147">
        <f>+J30+G30</f>
        <v>1195.4000000000001</v>
      </c>
      <c r="K31" s="149"/>
    </row>
    <row r="32" spans="1:21">
      <c r="C32" s="147"/>
      <c r="D32" s="147"/>
      <c r="E32" s="147"/>
      <c r="F32" s="147"/>
      <c r="G32" s="171" t="s">
        <v>159</v>
      </c>
      <c r="H32" s="147">
        <v>1195.816</v>
      </c>
      <c r="I32" s="147"/>
      <c r="J32" s="147">
        <v>1195.4000000000001</v>
      </c>
      <c r="K32" s="149"/>
      <c r="O32" s="150"/>
      <c r="P32" s="150"/>
      <c r="T32" s="174">
        <f>+S30+T30</f>
        <v>1245.6908510162514</v>
      </c>
    </row>
    <row r="33" spans="1:16">
      <c r="A33" s="140" t="s">
        <v>24</v>
      </c>
      <c r="C33" s="147"/>
      <c r="D33" s="147"/>
      <c r="E33" s="147"/>
      <c r="F33" s="147"/>
      <c r="G33" s="147"/>
      <c r="H33" s="147">
        <f>+H31-H32</f>
        <v>0</v>
      </c>
      <c r="I33" s="147"/>
      <c r="J33" s="147">
        <f>+J31-J32</f>
        <v>0</v>
      </c>
      <c r="K33" s="149"/>
      <c r="O33" s="150">
        <f t="shared" ref="O33:P35" si="16">+O16+O24</f>
        <v>-3.1000000000000028E-2</v>
      </c>
      <c r="P33" s="150">
        <f t="shared" si="16"/>
        <v>-0.65300000000000047</v>
      </c>
    </row>
    <row r="34" spans="1:16">
      <c r="A34" s="140" t="s">
        <v>30</v>
      </c>
      <c r="C34" s="147"/>
      <c r="D34" s="147"/>
      <c r="E34" s="147"/>
      <c r="F34" s="147"/>
      <c r="G34" s="147"/>
      <c r="H34" s="147"/>
      <c r="I34" s="147"/>
      <c r="J34" s="147"/>
      <c r="K34" s="149"/>
      <c r="O34" s="150">
        <f t="shared" si="16"/>
        <v>21.455999999999996</v>
      </c>
      <c r="P34" s="150">
        <f t="shared" si="16"/>
        <v>-23.206</v>
      </c>
    </row>
    <row r="35" spans="1:16">
      <c r="A35" s="140" t="s">
        <v>35</v>
      </c>
      <c r="C35" s="147"/>
      <c r="D35" s="147"/>
      <c r="E35" s="147"/>
      <c r="F35" s="147"/>
      <c r="G35" s="147"/>
      <c r="H35" s="147"/>
      <c r="I35" s="147"/>
      <c r="J35" s="147"/>
      <c r="K35" s="149"/>
      <c r="O35" s="150">
        <f t="shared" si="16"/>
        <v>2.3969999999999971</v>
      </c>
      <c r="P35" s="150">
        <f t="shared" si="16"/>
        <v>93.403999999999897</v>
      </c>
    </row>
    <row r="36" spans="1:16">
      <c r="A36" s="140" t="s">
        <v>40</v>
      </c>
      <c r="C36" s="147"/>
      <c r="D36" s="147"/>
      <c r="E36" s="147"/>
      <c r="F36" s="147"/>
      <c r="G36" s="147"/>
      <c r="H36" s="147"/>
      <c r="I36" s="147"/>
      <c r="J36" s="147"/>
      <c r="K36" s="149"/>
      <c r="O36" s="150">
        <f>+O19</f>
        <v>0.42300000000000004</v>
      </c>
      <c r="P36" s="150">
        <f>+P19</f>
        <v>18.283000000000001</v>
      </c>
    </row>
    <row r="37" spans="1:16">
      <c r="A37" s="140" t="s">
        <v>44</v>
      </c>
      <c r="C37" s="147"/>
      <c r="D37" s="147"/>
      <c r="E37" s="147"/>
      <c r="F37" s="147"/>
      <c r="G37" s="147"/>
      <c r="H37" s="147"/>
      <c r="I37" s="147"/>
      <c r="J37" s="147"/>
      <c r="K37" s="149"/>
      <c r="O37" s="150">
        <f>+O27</f>
        <v>-0.871</v>
      </c>
      <c r="P37" s="150">
        <f>+P27</f>
        <v>-10.584</v>
      </c>
    </row>
    <row r="38" spans="1:16">
      <c r="C38" s="147"/>
      <c r="D38" s="147"/>
      <c r="E38" s="147"/>
      <c r="F38" s="147"/>
      <c r="G38" s="147"/>
      <c r="H38" s="147"/>
      <c r="I38" s="147"/>
      <c r="J38" s="147"/>
      <c r="K38" s="149"/>
    </row>
    <row r="39" spans="1:16">
      <c r="C39" s="147"/>
      <c r="D39" s="147"/>
      <c r="E39" s="147"/>
      <c r="F39" s="147"/>
      <c r="G39" s="147"/>
      <c r="H39" s="147"/>
      <c r="I39" s="147"/>
      <c r="J39" s="147"/>
      <c r="K39" s="149"/>
    </row>
    <row r="40" spans="1:16">
      <c r="A40" s="140" t="s">
        <v>157</v>
      </c>
      <c r="C40" s="149">
        <f t="shared" ref="C40:J40" si="17">-C15/C27</f>
        <v>65.929503916449093</v>
      </c>
      <c r="D40" s="149">
        <f t="shared" si="17"/>
        <v>239.68314911770409</v>
      </c>
      <c r="E40" s="149">
        <f t="shared" si="17"/>
        <v>7.4234693877551017</v>
      </c>
      <c r="F40" s="149">
        <f t="shared" si="17"/>
        <v>248.85930255996774</v>
      </c>
      <c r="G40" s="149">
        <f t="shared" si="17"/>
        <v>52.282786885245905</v>
      </c>
      <c r="H40" s="149">
        <f t="shared" si="17"/>
        <v>220.15299877600978</v>
      </c>
      <c r="I40" s="149">
        <f t="shared" si="17"/>
        <v>13.385416666666668</v>
      </c>
      <c r="J40" s="149">
        <f t="shared" si="17"/>
        <v>223.68308731993596</v>
      </c>
      <c r="K40" s="149"/>
    </row>
    <row r="41" spans="1:16">
      <c r="C41" s="147"/>
      <c r="D41" s="147"/>
      <c r="E41" s="147"/>
      <c r="F41" s="147"/>
      <c r="G41" s="147"/>
      <c r="H41" s="147"/>
      <c r="I41" s="147"/>
      <c r="J41" s="147"/>
      <c r="K41" s="149"/>
    </row>
    <row r="42" spans="1:16">
      <c r="A42" s="140" t="s">
        <v>163</v>
      </c>
      <c r="C42" s="147"/>
      <c r="D42" s="147"/>
      <c r="E42" s="147"/>
      <c r="F42" s="147"/>
      <c r="G42" s="151">
        <f>AVERAGE(C40,G40)</f>
        <v>59.106145400847495</v>
      </c>
      <c r="H42" s="151">
        <f>AVERAGE(D40,H40)</f>
        <v>229.91807394685694</v>
      </c>
      <c r="I42" s="151">
        <f>AVERAGE(E40,I40)</f>
        <v>10.404443027210885</v>
      </c>
      <c r="J42" s="151">
        <f>AVERAGE(F40,J40)</f>
        <v>236.27119493995184</v>
      </c>
      <c r="K42" s="149"/>
    </row>
    <row r="43" spans="1:16">
      <c r="C43" s="149"/>
      <c r="D43" s="149"/>
      <c r="E43" s="149"/>
      <c r="F43" s="149"/>
      <c r="G43" s="149"/>
      <c r="H43" s="149"/>
      <c r="I43" s="149"/>
      <c r="J43" s="149"/>
      <c r="K43" s="149"/>
    </row>
    <row r="44" spans="1:16">
      <c r="C44" s="149"/>
      <c r="D44" s="149"/>
      <c r="E44" s="149"/>
      <c r="F44" s="149"/>
      <c r="G44" s="149"/>
      <c r="H44" s="149"/>
      <c r="I44" s="149"/>
      <c r="J44" s="149"/>
      <c r="K44" s="149"/>
    </row>
  </sheetData>
  <mergeCells count="3">
    <mergeCell ref="C12:D12"/>
    <mergeCell ref="G12:H12"/>
    <mergeCell ref="O12:P12"/>
  </mergeCells>
  <pageMargins left="0.51181102362204722" right="0.51181102362204722" top="0.74803149606299213" bottom="0.74803149606299213" header="0.31496062992125984" footer="0.31496062992125984"/>
  <pageSetup paperSize="8" scale="85" orientation="landscape" r:id="rId1"/>
  <ignoredErrors>
    <ignoredError sqref="O20:P23 O18:O19 O24:O26"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WS12</vt:lpstr>
      <vt:lpstr>WS12b</vt:lpstr>
      <vt:lpstr>Sheet1</vt:lpstr>
      <vt:lpstr>Sheet1!Print_Area</vt:lpstr>
      <vt:lpstr>'WS12'!Print_Area</vt:lpstr>
    </vt:vector>
  </TitlesOfParts>
  <Company>Portsmouth Water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Jemphrey</dc:creator>
  <cp:lastModifiedBy>Morley, Steve</cp:lastModifiedBy>
  <cp:lastPrinted>2018-01-30T14:49:43Z</cp:lastPrinted>
  <dcterms:created xsi:type="dcterms:W3CDTF">2018-01-08T09:05:08Z</dcterms:created>
  <dcterms:modified xsi:type="dcterms:W3CDTF">2018-02-09T10:37:27Z</dcterms:modified>
</cp:coreProperties>
</file>