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avdc01\userdata$\sm\Documents\"/>
    </mc:Choice>
  </mc:AlternateContent>
  <bookViews>
    <workbookView xWindow="0" yWindow="0" windowWidth="28800" windowHeight="12435"/>
  </bookViews>
  <sheets>
    <sheet name="Ready Reckoner" sheetId="1" r:id="rId1"/>
    <sheet name="Scenarios" sheetId="2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8" i="2" l="1"/>
  <c r="R77" i="2"/>
  <c r="N78" i="2"/>
  <c r="N77" i="2"/>
  <c r="J78" i="2"/>
  <c r="J77" i="2"/>
  <c r="F77" i="2"/>
  <c r="F78" i="2"/>
  <c r="A77" i="2"/>
  <c r="A78" i="2" s="1"/>
  <c r="L38" i="2" l="1"/>
  <c r="H38" i="2" l="1"/>
  <c r="R71" i="2" l="1"/>
  <c r="R68" i="2"/>
  <c r="R65" i="2"/>
  <c r="R66" i="2" s="1"/>
  <c r="R69" i="2" s="1"/>
  <c r="R72" i="2" s="1"/>
  <c r="R64" i="2"/>
  <c r="R63" i="2"/>
  <c r="N71" i="2"/>
  <c r="N68" i="2"/>
  <c r="N64" i="2"/>
  <c r="N63" i="2"/>
  <c r="J71" i="2"/>
  <c r="J68" i="2"/>
  <c r="J65" i="2"/>
  <c r="J66" i="2" s="1"/>
  <c r="J69" i="2" s="1"/>
  <c r="J72" i="2" s="1"/>
  <c r="J64" i="2"/>
  <c r="J63" i="2"/>
  <c r="F71" i="2"/>
  <c r="F68" i="2"/>
  <c r="F65" i="2"/>
  <c r="F66" i="2" s="1"/>
  <c r="F69" i="2" s="1"/>
  <c r="F72" i="2" s="1"/>
  <c r="F64" i="2"/>
  <c r="F63" i="2"/>
  <c r="P34" i="2"/>
  <c r="L34" i="2"/>
  <c r="H34" i="2"/>
  <c r="P29" i="2"/>
  <c r="L29" i="2"/>
  <c r="H29" i="2"/>
  <c r="P25" i="2"/>
  <c r="L25" i="2"/>
  <c r="H25" i="2"/>
  <c r="P43" i="2"/>
  <c r="R43" i="2" s="1"/>
  <c r="P36" i="2"/>
  <c r="P33" i="2"/>
  <c r="P30" i="2"/>
  <c r="P31" i="2" s="1"/>
  <c r="P26" i="2"/>
  <c r="P27" i="2"/>
  <c r="P22" i="2"/>
  <c r="P12" i="2"/>
  <c r="L43" i="2"/>
  <c r="N43" i="2" s="1"/>
  <c r="L36" i="2"/>
  <c r="L33" i="2"/>
  <c r="L30" i="2"/>
  <c r="L31" i="2" s="1"/>
  <c r="L26" i="2"/>
  <c r="L27" i="2"/>
  <c r="L22" i="2"/>
  <c r="L12" i="2"/>
  <c r="H43" i="2"/>
  <c r="J43" i="2" s="1"/>
  <c r="H36" i="2"/>
  <c r="H33" i="2"/>
  <c r="H30" i="2"/>
  <c r="H31" i="2" s="1"/>
  <c r="H26" i="2"/>
  <c r="H27" i="2"/>
  <c r="H45" i="2" s="1"/>
  <c r="H22" i="2"/>
  <c r="H12" i="2"/>
  <c r="C60" i="2"/>
  <c r="C59" i="2"/>
  <c r="D34" i="2" s="1"/>
  <c r="D36" i="2" s="1"/>
  <c r="D33" i="2"/>
  <c r="D30" i="2"/>
  <c r="D29" i="2"/>
  <c r="D31" i="2" s="1"/>
  <c r="D26" i="2"/>
  <c r="D22" i="2"/>
  <c r="D43" i="2" s="1"/>
  <c r="D12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R73" i="2" l="1"/>
  <c r="R74" i="2" s="1"/>
  <c r="J73" i="2"/>
  <c r="J74" i="2" s="1"/>
  <c r="F73" i="2"/>
  <c r="F74" i="2" s="1"/>
  <c r="P38" i="2"/>
  <c r="P45" i="2" s="1"/>
  <c r="P47" i="2"/>
  <c r="L45" i="2"/>
  <c r="N65" i="2" s="1"/>
  <c r="N66" i="2" s="1"/>
  <c r="N69" i="2" s="1"/>
  <c r="N72" i="2" s="1"/>
  <c r="N73" i="2" s="1"/>
  <c r="N74" i="2" s="1"/>
  <c r="H47" i="2"/>
  <c r="D47" i="2"/>
  <c r="F43" i="2"/>
  <c r="D25" i="2"/>
  <c r="D27" i="2" s="1"/>
  <c r="D38" i="2" s="1"/>
  <c r="D45" i="2" s="1"/>
  <c r="A61" i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60" i="1"/>
  <c r="D22" i="1"/>
  <c r="P49" i="2" l="1"/>
  <c r="R47" i="2"/>
  <c r="R49" i="2" s="1"/>
  <c r="L47" i="2"/>
  <c r="H49" i="2"/>
  <c r="J47" i="2"/>
  <c r="J49" i="2" s="1"/>
  <c r="F47" i="2"/>
  <c r="F49" i="2" s="1"/>
  <c r="D49" i="2"/>
  <c r="F68" i="1"/>
  <c r="F64" i="1"/>
  <c r="F71" i="1" s="1"/>
  <c r="F63" i="1"/>
  <c r="L49" i="2" l="1"/>
  <c r="N47" i="2"/>
  <c r="N49" i="2" s="1"/>
  <c r="C59" i="1"/>
  <c r="C60" i="1" s="1"/>
  <c r="D34" i="1"/>
  <c r="D36" i="1" s="1"/>
  <c r="D33" i="1"/>
  <c r="D26" i="1"/>
  <c r="D30" i="1" s="1"/>
  <c r="D25" i="1"/>
  <c r="D27" i="1" s="1"/>
  <c r="D43" i="1"/>
  <c r="D12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D29" i="1" l="1"/>
  <c r="D31" i="1"/>
  <c r="D38" i="1" s="1"/>
  <c r="D45" i="1" s="1"/>
  <c r="F43" i="1"/>
  <c r="D47" i="1" l="1"/>
  <c r="D49" i="1" s="1"/>
  <c r="F65" i="1"/>
  <c r="F66" i="1" s="1"/>
  <c r="F69" i="1" s="1"/>
  <c r="F72" i="1" s="1"/>
  <c r="F73" i="1" l="1"/>
  <c r="F74" i="1" s="1"/>
  <c r="F76" i="1"/>
  <c r="F47" i="1"/>
  <c r="F49" i="1" s="1"/>
</calcChain>
</file>

<file path=xl/sharedStrings.xml><?xml version="1.0" encoding="utf-8"?>
<sst xmlns="http://schemas.openxmlformats.org/spreadsheetml/2006/main" count="191" uniqueCount="69">
  <si>
    <t>Units</t>
  </si>
  <si>
    <t>Number of households</t>
  </si>
  <si>
    <t>#</t>
  </si>
  <si>
    <t>Number of non-houesholds</t>
  </si>
  <si>
    <t>Length of mains</t>
  </si>
  <si>
    <t>km</t>
  </si>
  <si>
    <t>Implied density rate</t>
  </si>
  <si>
    <t>m/#</t>
  </si>
  <si>
    <t>Annual water demand per household</t>
  </si>
  <si>
    <t>m3</t>
  </si>
  <si>
    <t>Annual water demand per non-household</t>
  </si>
  <si>
    <t>Household standing charge</t>
  </si>
  <si>
    <t>£</t>
  </si>
  <si>
    <t>Non-household standing charge</t>
  </si>
  <si>
    <t>Household volume charge</t>
  </si>
  <si>
    <t>£/m3</t>
  </si>
  <si>
    <t>Non-houeshold volume charge</t>
  </si>
  <si>
    <t>Operating Costs  (2018/19 inflated)</t>
  </si>
  <si>
    <t>Local distribution operating costs (excl o'heads)</t>
  </si>
  <si>
    <t>£ 000s</t>
  </si>
  <si>
    <t>Length of local distribution</t>
  </si>
  <si>
    <t>Implied opex per metre (length)</t>
  </si>
  <si>
    <t>£/m</t>
  </si>
  <si>
    <t>Maintenance Costs</t>
  </si>
  <si>
    <t>Local distribution renewals charge</t>
  </si>
  <si>
    <t>Renewals charge per metre (length)</t>
  </si>
  <si>
    <t>Return on investment</t>
  </si>
  <si>
    <t>No. of meters on site</t>
  </si>
  <si>
    <t>Unit cost (£/meter)</t>
  </si>
  <si>
    <t>Cost of capital</t>
  </si>
  <si>
    <t>Return per meter (asset)</t>
  </si>
  <si>
    <t>Total Cost forgone</t>
  </si>
  <si>
    <t>Cost</t>
  </si>
  <si>
    <t>Unit Rate</t>
  </si>
  <si>
    <t>Wholesale Charge</t>
  </si>
  <si>
    <t>Costs forgone</t>
  </si>
  <si>
    <t>NAV charge</t>
  </si>
  <si>
    <t>Reduction on standard charges</t>
  </si>
  <si>
    <t>Retail Price Index</t>
  </si>
  <si>
    <t xml:space="preserve">November 2018                </t>
  </si>
  <si>
    <t xml:space="preserve">Average 2018/19              </t>
  </si>
  <si>
    <t>Consumer Price Index</t>
  </si>
  <si>
    <t>November 2018</t>
  </si>
  <si>
    <t>Indexation</t>
  </si>
  <si>
    <t>Inflator</t>
  </si>
  <si>
    <t>Contact Steve Morley or Paul Treagust</t>
  </si>
  <si>
    <t>s.morley@portsmouthwater.co.uk</t>
  </si>
  <si>
    <t>p.treagust@portsmouthwater.co.uk</t>
  </si>
  <si>
    <t>Build up</t>
  </si>
  <si>
    <t>Standing charge income</t>
  </si>
  <si>
    <t>Volume charge income</t>
  </si>
  <si>
    <t>Cost forgone</t>
  </si>
  <si>
    <t>Volume charge</t>
  </si>
  <si>
    <t>Annual Fixed Charge</t>
  </si>
  <si>
    <t>Volume income</t>
  </si>
  <si>
    <t>Unit price</t>
  </si>
  <si>
    <t>Portsmouth Water NAV tariff (2021/22)</t>
  </si>
  <si>
    <t>November 2020</t>
  </si>
  <si>
    <t>So each day the NAV pay £0.7467 per cubic metre less</t>
  </si>
  <si>
    <t>A</t>
  </si>
  <si>
    <t>B</t>
  </si>
  <si>
    <t>C</t>
  </si>
  <si>
    <t>D</t>
  </si>
  <si>
    <t>Wholesale Tariffs (from 1 July 2021)</t>
  </si>
  <si>
    <t>The 4 scenarios shown allow the user to understand the impact different property arrangments will have on our NAV charge.</t>
  </si>
  <si>
    <t>Detailed discussion is provided in our NAV document, 2021/22</t>
  </si>
  <si>
    <t>NAV Pays</t>
  </si>
  <si>
    <t>Volume Charge</t>
  </si>
  <si>
    <t>Daily payment to 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</si>
</sst>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2" borderId="0" xfId="0" applyFill="1"/>
    <xf numFmtId="2" fontId="0" fillId="3" borderId="0" xfId="0" applyNumberFormat="1" applyFill="1"/>
    <xf numFmtId="1" fontId="0" fillId="2" borderId="0" xfId="0" applyNumberFormat="1" applyFill="1"/>
    <xf numFmtId="0" fontId="0" fillId="4" borderId="0" xfId="0" applyFill="1"/>
    <xf numFmtId="164" fontId="0" fillId="4" borderId="0" xfId="0" applyNumberFormat="1" applyFill="1"/>
    <xf numFmtId="165" fontId="0" fillId="0" borderId="0" xfId="0" applyNumberFormat="1" applyFill="1"/>
    <xf numFmtId="0" fontId="0" fillId="0" borderId="0" xfId="0" applyFill="1" applyBorder="1"/>
    <xf numFmtId="1" fontId="0" fillId="0" borderId="0" xfId="0" applyNumberFormat="1" applyFill="1" applyBorder="1" applyAlignment="1">
      <alignment horizontal="right"/>
    </xf>
    <xf numFmtId="165" fontId="0" fillId="3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ont="1" applyFill="1" applyBorder="1"/>
    <xf numFmtId="1" fontId="0" fillId="3" borderId="0" xfId="0" applyNumberFormat="1" applyFill="1" applyBorder="1"/>
    <xf numFmtId="1" fontId="0" fillId="0" borderId="0" xfId="0" applyNumberFormat="1" applyFill="1" applyBorder="1"/>
    <xf numFmtId="1" fontId="0" fillId="0" borderId="0" xfId="0" applyNumberFormat="1"/>
    <xf numFmtId="10" fontId="0" fillId="0" borderId="0" xfId="1" applyNumberFormat="1" applyFont="1" applyFill="1" applyBorder="1"/>
    <xf numFmtId="10" fontId="0" fillId="0" borderId="0" xfId="1" applyNumberFormat="1" applyFont="1"/>
    <xf numFmtId="2" fontId="0" fillId="3" borderId="0" xfId="1" applyNumberFormat="1" applyFont="1" applyFill="1" applyBorder="1"/>
    <xf numFmtId="1" fontId="0" fillId="3" borderId="1" xfId="0" applyNumberFormat="1" applyFill="1" applyBorder="1"/>
    <xf numFmtId="165" fontId="0" fillId="3" borderId="1" xfId="0" applyNumberFormat="1" applyFill="1" applyBorder="1"/>
    <xf numFmtId="165" fontId="0" fillId="0" borderId="0" xfId="0" applyNumberFormat="1" applyFill="1" applyBorder="1"/>
    <xf numFmtId="9" fontId="0" fillId="0" borderId="0" xfId="1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7" fontId="0" fillId="0" borderId="0" xfId="0" quotePrefix="1" applyNumberFormat="1" applyAlignment="1">
      <alignment vertical="center"/>
    </xf>
    <xf numFmtId="165" fontId="0" fillId="0" borderId="0" xfId="0" applyNumberFormat="1"/>
    <xf numFmtId="17" fontId="0" fillId="0" borderId="0" xfId="0" applyNumberFormat="1" applyAlignment="1">
      <alignment vertical="center"/>
    </xf>
    <xf numFmtId="166" fontId="0" fillId="0" borderId="0" xfId="1" applyNumberFormat="1" applyFont="1"/>
    <xf numFmtId="0" fontId="3" fillId="0" borderId="0" xfId="2"/>
    <xf numFmtId="3" fontId="0" fillId="0" borderId="0" xfId="0" applyNumberFormat="1"/>
    <xf numFmtId="1" fontId="0" fillId="3" borderId="0" xfId="0" applyNumberForma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0" fontId="0" fillId="3" borderId="0" xfId="1" applyNumberFormat="1" applyFont="1" applyFill="1" applyBorder="1"/>
    <xf numFmtId="0" fontId="0" fillId="0" borderId="0" xfId="0" applyFill="1"/>
    <xf numFmtId="2" fontId="0" fillId="0" borderId="0" xfId="0" applyNumberFormat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4" xfId="0" applyNumberFormat="1" applyFill="1" applyBorder="1"/>
    <xf numFmtId="164" fontId="0" fillId="3" borderId="2" xfId="0" applyNumberFormat="1" applyFill="1" applyBorder="1"/>
    <xf numFmtId="3" fontId="0" fillId="3" borderId="2" xfId="0" applyNumberFormat="1" applyFill="1" applyBorder="1"/>
    <xf numFmtId="3" fontId="0" fillId="3" borderId="3" xfId="0" applyNumberFormat="1" applyFill="1" applyBorder="1"/>
    <xf numFmtId="165" fontId="0" fillId="3" borderId="4" xfId="0" applyNumberFormat="1" applyFill="1" applyBorder="1"/>
    <xf numFmtId="0" fontId="0" fillId="0" borderId="0" xfId="0" quotePrefix="1"/>
    <xf numFmtId="2" fontId="0" fillId="3" borderId="4" xfId="0" applyNumberFormat="1" applyFill="1" applyBorder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.treagust@portsmouthwater.co.uk" TargetMode="External"/><Relationship Id="rId1" Type="http://schemas.openxmlformats.org/officeDocument/2006/relationships/hyperlink" Target="mailto:s.morley@portsmouthwater.co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workbookViewId="0"/>
  </sheetViews>
  <sheetFormatPr defaultRowHeight="15" x14ac:dyDescent="0.25"/>
  <cols>
    <col min="1" max="1" width="4.7109375" customWidth="1"/>
    <col min="2" max="2" width="49.140625" bestFit="1" customWidth="1"/>
    <col min="4" max="4" width="9.5703125" bestFit="1" customWidth="1"/>
    <col min="5" max="5" width="3.5703125" customWidth="1"/>
  </cols>
  <sheetData>
    <row r="1" spans="1:7" x14ac:dyDescent="0.25">
      <c r="B1" s="1" t="s">
        <v>56</v>
      </c>
      <c r="D1" s="2"/>
      <c r="E1" s="2"/>
      <c r="F1" s="2"/>
      <c r="G1" s="2"/>
    </row>
    <row r="2" spans="1:7" x14ac:dyDescent="0.25">
      <c r="B2" s="1"/>
      <c r="D2" s="2"/>
      <c r="E2" s="2"/>
      <c r="F2" s="2"/>
      <c r="G2" s="2"/>
    </row>
    <row r="3" spans="1:7" x14ac:dyDescent="0.25">
      <c r="B3" s="1" t="s">
        <v>45</v>
      </c>
      <c r="D3" s="2"/>
      <c r="E3" s="2"/>
      <c r="F3" s="2"/>
      <c r="G3" s="2"/>
    </row>
    <row r="4" spans="1:7" x14ac:dyDescent="0.25">
      <c r="B4" s="1"/>
      <c r="D4" s="2"/>
      <c r="E4" s="2"/>
      <c r="F4" s="2"/>
      <c r="G4" s="2"/>
    </row>
    <row r="5" spans="1:7" x14ac:dyDescent="0.25">
      <c r="B5" s="31" t="s">
        <v>46</v>
      </c>
      <c r="D5" s="2"/>
      <c r="E5" s="2"/>
      <c r="F5" s="2"/>
      <c r="G5" s="2"/>
    </row>
    <row r="6" spans="1:7" x14ac:dyDescent="0.25">
      <c r="B6" s="31" t="s">
        <v>47</v>
      </c>
      <c r="D6" s="2"/>
      <c r="E6" s="2"/>
      <c r="F6" s="2"/>
      <c r="G6" s="2"/>
    </row>
    <row r="7" spans="1:7" x14ac:dyDescent="0.25">
      <c r="B7" s="1"/>
      <c r="D7" s="2"/>
      <c r="E7" s="2"/>
      <c r="F7" s="2"/>
      <c r="G7" s="2"/>
    </row>
    <row r="8" spans="1:7" x14ac:dyDescent="0.25">
      <c r="C8" s="1" t="s">
        <v>0</v>
      </c>
    </row>
    <row r="9" spans="1:7" x14ac:dyDescent="0.25">
      <c r="A9">
        <v>1</v>
      </c>
      <c r="B9" t="s">
        <v>1</v>
      </c>
      <c r="C9" t="s">
        <v>2</v>
      </c>
      <c r="D9" s="3">
        <v>300</v>
      </c>
    </row>
    <row r="10" spans="1:7" x14ac:dyDescent="0.25">
      <c r="A10">
        <f>+A9+1</f>
        <v>2</v>
      </c>
      <c r="B10" t="s">
        <v>3</v>
      </c>
      <c r="C10" t="s">
        <v>2</v>
      </c>
      <c r="D10" s="3">
        <v>50</v>
      </c>
    </row>
    <row r="11" spans="1:7" x14ac:dyDescent="0.25">
      <c r="A11">
        <f t="shared" ref="A11:A74" si="0">+A10+1</f>
        <v>3</v>
      </c>
      <c r="B11" t="s">
        <v>4</v>
      </c>
      <c r="C11" t="s">
        <v>5</v>
      </c>
      <c r="D11" s="3">
        <v>2.75</v>
      </c>
    </row>
    <row r="12" spans="1:7" x14ac:dyDescent="0.25">
      <c r="A12">
        <f t="shared" si="0"/>
        <v>4</v>
      </c>
      <c r="B12" t="s">
        <v>6</v>
      </c>
      <c r="C12" t="s">
        <v>7</v>
      </c>
      <c r="D12" s="4">
        <f>+D11*1000/(D9+D10)</f>
        <v>7.8571428571428568</v>
      </c>
    </row>
    <row r="13" spans="1:7" x14ac:dyDescent="0.25">
      <c r="A13">
        <f t="shared" si="0"/>
        <v>5</v>
      </c>
    </row>
    <row r="14" spans="1:7" x14ac:dyDescent="0.25">
      <c r="A14">
        <f t="shared" si="0"/>
        <v>6</v>
      </c>
      <c r="B14" t="s">
        <v>8</v>
      </c>
      <c r="C14" t="s">
        <v>9</v>
      </c>
      <c r="D14" s="5">
        <v>120</v>
      </c>
    </row>
    <row r="15" spans="1:7" x14ac:dyDescent="0.25">
      <c r="A15">
        <f t="shared" si="0"/>
        <v>7</v>
      </c>
      <c r="B15" t="s">
        <v>10</v>
      </c>
      <c r="C15" t="s">
        <v>9</v>
      </c>
      <c r="D15" s="3">
        <v>400</v>
      </c>
    </row>
    <row r="16" spans="1:7" x14ac:dyDescent="0.25">
      <c r="A16">
        <f t="shared" si="0"/>
        <v>8</v>
      </c>
    </row>
    <row r="17" spans="1:5" x14ac:dyDescent="0.25">
      <c r="A17">
        <f t="shared" si="0"/>
        <v>9</v>
      </c>
      <c r="B17" s="1" t="s">
        <v>63</v>
      </c>
    </row>
    <row r="18" spans="1:5" x14ac:dyDescent="0.25">
      <c r="A18">
        <f t="shared" si="0"/>
        <v>10</v>
      </c>
      <c r="B18" t="s">
        <v>11</v>
      </c>
      <c r="C18" t="s">
        <v>12</v>
      </c>
      <c r="D18" s="6">
        <v>14.89</v>
      </c>
    </row>
    <row r="19" spans="1:5" x14ac:dyDescent="0.25">
      <c r="A19">
        <f t="shared" si="0"/>
        <v>11</v>
      </c>
      <c r="B19" t="s">
        <v>13</v>
      </c>
      <c r="C19" t="s">
        <v>12</v>
      </c>
      <c r="D19" s="6">
        <v>12.74</v>
      </c>
    </row>
    <row r="20" spans="1:5" x14ac:dyDescent="0.25">
      <c r="A20">
        <f t="shared" si="0"/>
        <v>12</v>
      </c>
    </row>
    <row r="21" spans="1:5" x14ac:dyDescent="0.25">
      <c r="A21">
        <f t="shared" si="0"/>
        <v>13</v>
      </c>
      <c r="B21" t="s">
        <v>14</v>
      </c>
      <c r="C21" t="s">
        <v>15</v>
      </c>
      <c r="D21" s="7">
        <v>0.74670000000000003</v>
      </c>
    </row>
    <row r="22" spans="1:5" x14ac:dyDescent="0.25">
      <c r="A22">
        <f t="shared" si="0"/>
        <v>14</v>
      </c>
      <c r="B22" t="s">
        <v>16</v>
      </c>
      <c r="C22" t="s">
        <v>15</v>
      </c>
      <c r="D22" s="7">
        <f>+D21</f>
        <v>0.74670000000000003</v>
      </c>
    </row>
    <row r="23" spans="1:5" x14ac:dyDescent="0.25">
      <c r="A23">
        <f t="shared" si="0"/>
        <v>15</v>
      </c>
      <c r="D23" s="8"/>
    </row>
    <row r="24" spans="1:5" x14ac:dyDescent="0.25">
      <c r="A24">
        <f t="shared" si="0"/>
        <v>16</v>
      </c>
      <c r="B24" s="1" t="s">
        <v>17</v>
      </c>
      <c r="D24" s="8"/>
    </row>
    <row r="25" spans="1:5" x14ac:dyDescent="0.25">
      <c r="A25">
        <f t="shared" si="0"/>
        <v>17</v>
      </c>
      <c r="B25" t="s">
        <v>18</v>
      </c>
      <c r="C25" s="9" t="s">
        <v>19</v>
      </c>
      <c r="D25" s="15">
        <f>4563*C59</f>
        <v>4678.2759512454613</v>
      </c>
      <c r="E25" s="10"/>
    </row>
    <row r="26" spans="1:5" x14ac:dyDescent="0.25">
      <c r="A26">
        <f t="shared" si="0"/>
        <v>18</v>
      </c>
      <c r="B26" t="s">
        <v>20</v>
      </c>
      <c r="C26" s="9" t="s">
        <v>5</v>
      </c>
      <c r="D26" s="33">
        <f>2858400/1000</f>
        <v>2858.4</v>
      </c>
      <c r="E26" s="10"/>
    </row>
    <row r="27" spans="1:5" x14ac:dyDescent="0.25">
      <c r="A27">
        <f t="shared" si="0"/>
        <v>19</v>
      </c>
      <c r="B27" s="9" t="s">
        <v>21</v>
      </c>
      <c r="C27" s="9" t="s">
        <v>22</v>
      </c>
      <c r="D27" s="11">
        <f>+D25/(D26)</f>
        <v>1.6366764452999794</v>
      </c>
      <c r="E27" s="10"/>
    </row>
    <row r="28" spans="1:5" x14ac:dyDescent="0.25">
      <c r="A28">
        <f t="shared" si="0"/>
        <v>20</v>
      </c>
      <c r="B28" s="1" t="s">
        <v>23</v>
      </c>
      <c r="C28" s="9"/>
      <c r="D28" s="12"/>
      <c r="E28" s="10"/>
    </row>
    <row r="29" spans="1:5" x14ac:dyDescent="0.25">
      <c r="A29">
        <f t="shared" si="0"/>
        <v>21</v>
      </c>
      <c r="B29" t="s">
        <v>24</v>
      </c>
      <c r="C29" s="9" t="s">
        <v>19</v>
      </c>
      <c r="D29" s="33">
        <f>999*C59</f>
        <v>1024.2379301543317</v>
      </c>
      <c r="E29" s="10"/>
    </row>
    <row r="30" spans="1:5" x14ac:dyDescent="0.25">
      <c r="A30">
        <f t="shared" si="0"/>
        <v>22</v>
      </c>
      <c r="B30" t="s">
        <v>20</v>
      </c>
      <c r="C30" s="9" t="s">
        <v>5</v>
      </c>
      <c r="D30" s="34">
        <f>+D26</f>
        <v>2858.4</v>
      </c>
      <c r="E30" s="10"/>
    </row>
    <row r="31" spans="1:5" x14ac:dyDescent="0.25">
      <c r="A31">
        <f t="shared" si="0"/>
        <v>23</v>
      </c>
      <c r="B31" t="s">
        <v>25</v>
      </c>
      <c r="C31" s="9" t="s">
        <v>22</v>
      </c>
      <c r="D31" s="11">
        <f>+D29/(D30)</f>
        <v>0.35832561228461085</v>
      </c>
      <c r="E31" s="10"/>
    </row>
    <row r="32" spans="1:5" x14ac:dyDescent="0.25">
      <c r="A32">
        <f t="shared" si="0"/>
        <v>24</v>
      </c>
      <c r="B32" s="13" t="s">
        <v>26</v>
      </c>
      <c r="C32" s="9"/>
      <c r="D32" s="9"/>
      <c r="E32" s="9"/>
    </row>
    <row r="33" spans="1:7" x14ac:dyDescent="0.25">
      <c r="A33">
        <f t="shared" si="0"/>
        <v>25</v>
      </c>
      <c r="B33" s="14" t="s">
        <v>27</v>
      </c>
      <c r="C33" s="9" t="s">
        <v>2</v>
      </c>
      <c r="D33" s="15">
        <f>+D9+D10</f>
        <v>350</v>
      </c>
      <c r="E33" s="9"/>
    </row>
    <row r="34" spans="1:7" x14ac:dyDescent="0.25">
      <c r="A34">
        <f t="shared" si="0"/>
        <v>26</v>
      </c>
      <c r="B34" s="14" t="s">
        <v>28</v>
      </c>
      <c r="C34" s="9" t="s">
        <v>12</v>
      </c>
      <c r="D34" s="15">
        <f>250*C59</f>
        <v>256.31579833691984</v>
      </c>
      <c r="E34" s="16"/>
      <c r="F34" s="17"/>
      <c r="G34" s="17"/>
    </row>
    <row r="35" spans="1:7" x14ac:dyDescent="0.25">
      <c r="A35">
        <f t="shared" si="0"/>
        <v>27</v>
      </c>
      <c r="B35" s="14" t="s">
        <v>29</v>
      </c>
      <c r="C35" s="9"/>
      <c r="D35" s="35">
        <v>4.7399999999999998E-2</v>
      </c>
      <c r="E35" s="18"/>
      <c r="F35" s="19"/>
      <c r="G35" s="19"/>
    </row>
    <row r="36" spans="1:7" x14ac:dyDescent="0.25">
      <c r="A36">
        <f t="shared" si="0"/>
        <v>28</v>
      </c>
      <c r="B36" s="14" t="s">
        <v>30</v>
      </c>
      <c r="C36" s="9" t="s">
        <v>12</v>
      </c>
      <c r="D36" s="20">
        <f>+D34*D35</f>
        <v>12.14936884117</v>
      </c>
      <c r="E36" s="18"/>
      <c r="F36" s="19"/>
      <c r="G36" s="19"/>
    </row>
    <row r="37" spans="1:7" ht="15.75" thickBot="1" x14ac:dyDescent="0.3">
      <c r="A37">
        <f t="shared" si="0"/>
        <v>29</v>
      </c>
      <c r="D37" s="8"/>
    </row>
    <row r="38" spans="1:7" ht="15.75" thickBot="1" x14ac:dyDescent="0.3">
      <c r="A38">
        <f t="shared" si="0"/>
        <v>30</v>
      </c>
      <c r="B38" s="1" t="s">
        <v>31</v>
      </c>
      <c r="C38" s="1" t="s">
        <v>12</v>
      </c>
      <c r="D38" s="21">
        <f>+(D11*1000*D27)+(D11*1000*D31)+(D33*D34*D35)</f>
        <v>9738.5347527671238</v>
      </c>
    </row>
    <row r="39" spans="1:7" x14ac:dyDescent="0.25">
      <c r="A39">
        <f t="shared" si="0"/>
        <v>31</v>
      </c>
      <c r="D39" s="8"/>
    </row>
    <row r="40" spans="1:7" x14ac:dyDescent="0.25">
      <c r="A40">
        <f t="shared" si="0"/>
        <v>32</v>
      </c>
      <c r="D40" s="8" t="s">
        <v>32</v>
      </c>
      <c r="F40" t="s">
        <v>33</v>
      </c>
    </row>
    <row r="41" spans="1:7" x14ac:dyDescent="0.25">
      <c r="A41">
        <f t="shared" si="0"/>
        <v>33</v>
      </c>
      <c r="D41" s="8" t="s">
        <v>12</v>
      </c>
      <c r="F41" t="s">
        <v>15</v>
      </c>
    </row>
    <row r="42" spans="1:7" ht="15.75" thickBot="1" x14ac:dyDescent="0.3">
      <c r="A42">
        <f t="shared" si="0"/>
        <v>34</v>
      </c>
      <c r="D42" s="8"/>
    </row>
    <row r="43" spans="1:7" ht="15.75" thickBot="1" x14ac:dyDescent="0.3">
      <c r="A43">
        <f t="shared" si="0"/>
        <v>35</v>
      </c>
      <c r="B43" s="1" t="s">
        <v>34</v>
      </c>
      <c r="C43" t="s">
        <v>12</v>
      </c>
      <c r="D43" s="21">
        <f>+((D9*D18)+(D10*D19)+(D9*D14*D21)+(D10*D15*D22))</f>
        <v>46919.199999999997</v>
      </c>
      <c r="F43" s="22">
        <f>+D43/((D9*D14)+(D10*D15))</f>
        <v>0.83784285714285711</v>
      </c>
    </row>
    <row r="44" spans="1:7" ht="15.75" thickBot="1" x14ac:dyDescent="0.3">
      <c r="A44">
        <f t="shared" si="0"/>
        <v>36</v>
      </c>
      <c r="D44" s="23"/>
    </row>
    <row r="45" spans="1:7" ht="15.75" thickBot="1" x14ac:dyDescent="0.3">
      <c r="A45">
        <f t="shared" si="0"/>
        <v>37</v>
      </c>
      <c r="B45" s="13" t="s">
        <v>35</v>
      </c>
      <c r="C45" s="9"/>
      <c r="D45" s="21">
        <f>+D38</f>
        <v>9738.5347527671238</v>
      </c>
      <c r="E45" s="9"/>
    </row>
    <row r="46" spans="1:7" ht="15.75" thickBot="1" x14ac:dyDescent="0.3">
      <c r="A46">
        <f t="shared" si="0"/>
        <v>38</v>
      </c>
    </row>
    <row r="47" spans="1:7" ht="15.75" thickBot="1" x14ac:dyDescent="0.3">
      <c r="A47">
        <f t="shared" si="0"/>
        <v>39</v>
      </c>
      <c r="B47" s="1" t="s">
        <v>36</v>
      </c>
      <c r="D47" s="21">
        <f>+D43-D45</f>
        <v>37180.665247232871</v>
      </c>
      <c r="F47" s="22">
        <f>+D47/((D9*D14)+(D10*D15))</f>
        <v>0.66394045084344411</v>
      </c>
    </row>
    <row r="48" spans="1:7" x14ac:dyDescent="0.25">
      <c r="A48">
        <f t="shared" si="0"/>
        <v>40</v>
      </c>
    </row>
    <row r="49" spans="1:6" x14ac:dyDescent="0.25">
      <c r="A49">
        <f t="shared" si="0"/>
        <v>41</v>
      </c>
      <c r="B49" s="1" t="s">
        <v>37</v>
      </c>
      <c r="D49" s="24">
        <f>+(D47/D43)-1</f>
        <v>-0.20755969310574618</v>
      </c>
      <c r="F49" s="24">
        <f>+(F47/F43)-1</f>
        <v>-0.20755969310574618</v>
      </c>
    </row>
    <row r="50" spans="1:6" x14ac:dyDescent="0.25">
      <c r="A50">
        <f t="shared" si="0"/>
        <v>42</v>
      </c>
    </row>
    <row r="51" spans="1:6" x14ac:dyDescent="0.25">
      <c r="A51">
        <f t="shared" si="0"/>
        <v>43</v>
      </c>
      <c r="B51" s="1" t="s">
        <v>38</v>
      </c>
    </row>
    <row r="52" spans="1:6" x14ac:dyDescent="0.25">
      <c r="A52">
        <f t="shared" si="0"/>
        <v>44</v>
      </c>
      <c r="B52" s="25" t="s">
        <v>39</v>
      </c>
      <c r="C52">
        <v>284.60000000000002</v>
      </c>
    </row>
    <row r="53" spans="1:6" x14ac:dyDescent="0.25">
      <c r="A53">
        <f t="shared" si="0"/>
        <v>45</v>
      </c>
      <c r="B53" s="25" t="s">
        <v>40</v>
      </c>
      <c r="C53">
        <v>283.3</v>
      </c>
    </row>
    <row r="54" spans="1:6" x14ac:dyDescent="0.25">
      <c r="A54">
        <f t="shared" si="0"/>
        <v>46</v>
      </c>
    </row>
    <row r="55" spans="1:6" x14ac:dyDescent="0.25">
      <c r="A55">
        <f t="shared" si="0"/>
        <v>47</v>
      </c>
      <c r="B55" s="26" t="s">
        <v>41</v>
      </c>
    </row>
    <row r="56" spans="1:6" x14ac:dyDescent="0.25">
      <c r="A56">
        <f t="shared" si="0"/>
        <v>48</v>
      </c>
      <c r="B56" s="27" t="s">
        <v>57</v>
      </c>
      <c r="C56" s="36">
        <v>109.1</v>
      </c>
    </row>
    <row r="57" spans="1:6" x14ac:dyDescent="0.25">
      <c r="A57">
        <f t="shared" si="0"/>
        <v>49</v>
      </c>
      <c r="B57" s="27" t="s">
        <v>42</v>
      </c>
      <c r="C57">
        <v>106.9</v>
      </c>
    </row>
    <row r="58" spans="1:6" x14ac:dyDescent="0.25">
      <c r="A58">
        <f t="shared" si="0"/>
        <v>50</v>
      </c>
      <c r="B58" s="27"/>
    </row>
    <row r="59" spans="1:6" x14ac:dyDescent="0.25">
      <c r="A59">
        <f t="shared" si="0"/>
        <v>51</v>
      </c>
      <c r="B59" t="s">
        <v>43</v>
      </c>
      <c r="C59" s="28">
        <f>+(C52/C53)*C56/C57</f>
        <v>1.0252631933476795</v>
      </c>
    </row>
    <row r="60" spans="1:6" x14ac:dyDescent="0.25">
      <c r="A60">
        <f t="shared" si="0"/>
        <v>52</v>
      </c>
      <c r="B60" s="29" t="s">
        <v>44</v>
      </c>
      <c r="C60" s="30">
        <f>+C59-1</f>
        <v>2.5263193347679458E-2</v>
      </c>
    </row>
    <row r="61" spans="1:6" x14ac:dyDescent="0.25">
      <c r="A61">
        <f t="shared" si="0"/>
        <v>53</v>
      </c>
    </row>
    <row r="62" spans="1:6" ht="15.75" thickBot="1" x14ac:dyDescent="0.3">
      <c r="A62">
        <f t="shared" si="0"/>
        <v>54</v>
      </c>
      <c r="B62" s="1" t="s">
        <v>48</v>
      </c>
    </row>
    <row r="63" spans="1:6" x14ac:dyDescent="0.25">
      <c r="A63">
        <f t="shared" si="0"/>
        <v>55</v>
      </c>
      <c r="B63" t="s">
        <v>49</v>
      </c>
      <c r="C63" t="s">
        <v>12</v>
      </c>
      <c r="F63" s="38">
        <f>+(D9*D18)+(D10*D19)</f>
        <v>5104</v>
      </c>
    </row>
    <row r="64" spans="1:6" x14ac:dyDescent="0.25">
      <c r="A64">
        <f t="shared" si="0"/>
        <v>56</v>
      </c>
      <c r="B64" t="s">
        <v>50</v>
      </c>
      <c r="C64" t="s">
        <v>12</v>
      </c>
      <c r="F64" s="39">
        <f>+(D9*D14*D21)+(D10*D15*D22)</f>
        <v>41815.199999999997</v>
      </c>
    </row>
    <row r="65" spans="1:10" x14ac:dyDescent="0.25">
      <c r="A65">
        <f t="shared" si="0"/>
        <v>57</v>
      </c>
      <c r="B65" t="s">
        <v>51</v>
      </c>
      <c r="F65" s="39">
        <f>+D45</f>
        <v>9738.5347527671238</v>
      </c>
    </row>
    <row r="66" spans="1:10" ht="15.75" thickBot="1" x14ac:dyDescent="0.3">
      <c r="A66">
        <f t="shared" si="0"/>
        <v>58</v>
      </c>
      <c r="B66" t="s">
        <v>36</v>
      </c>
      <c r="C66" t="s">
        <v>12</v>
      </c>
      <c r="F66" s="40">
        <f>+F63+F64-F65</f>
        <v>37180.665247232871</v>
      </c>
    </row>
    <row r="67" spans="1:10" ht="15.75" thickBot="1" x14ac:dyDescent="0.3">
      <c r="A67">
        <f t="shared" si="0"/>
        <v>59</v>
      </c>
    </row>
    <row r="68" spans="1:10" x14ac:dyDescent="0.25">
      <c r="A68">
        <f t="shared" si="0"/>
        <v>60</v>
      </c>
      <c r="B68" t="s">
        <v>52</v>
      </c>
      <c r="C68" t="s">
        <v>15</v>
      </c>
      <c r="F68" s="41">
        <f>+D21</f>
        <v>0.74670000000000003</v>
      </c>
    </row>
    <row r="69" spans="1:10" ht="15.75" thickBot="1" x14ac:dyDescent="0.3">
      <c r="A69">
        <f t="shared" si="0"/>
        <v>61</v>
      </c>
      <c r="B69" t="s">
        <v>53</v>
      </c>
      <c r="C69" t="s">
        <v>12</v>
      </c>
      <c r="F69" s="40">
        <f>+F66-F64</f>
        <v>-4634.5347527671256</v>
      </c>
    </row>
    <row r="70" spans="1:10" ht="15.75" thickBot="1" x14ac:dyDescent="0.3">
      <c r="A70">
        <f t="shared" si="0"/>
        <v>62</v>
      </c>
    </row>
    <row r="71" spans="1:10" x14ac:dyDescent="0.25">
      <c r="A71">
        <f t="shared" si="0"/>
        <v>63</v>
      </c>
      <c r="B71" t="s">
        <v>54</v>
      </c>
      <c r="C71" t="s">
        <v>9</v>
      </c>
      <c r="F71" s="42">
        <f>+F64</f>
        <v>41815.199999999997</v>
      </c>
      <c r="J71" s="32"/>
    </row>
    <row r="72" spans="1:10" x14ac:dyDescent="0.25">
      <c r="A72">
        <f t="shared" si="0"/>
        <v>64</v>
      </c>
      <c r="B72" t="s">
        <v>49</v>
      </c>
      <c r="C72" t="s">
        <v>12</v>
      </c>
      <c r="F72" s="39">
        <f>+F69</f>
        <v>-4634.5347527671256</v>
      </c>
    </row>
    <row r="73" spans="1:10" x14ac:dyDescent="0.25">
      <c r="A73">
        <f t="shared" si="0"/>
        <v>65</v>
      </c>
      <c r="B73" t="s">
        <v>36</v>
      </c>
      <c r="F73" s="43">
        <f>+F71+F72</f>
        <v>37180.665247232871</v>
      </c>
    </row>
    <row r="74" spans="1:10" ht="15.75" thickBot="1" x14ac:dyDescent="0.3">
      <c r="A74">
        <f t="shared" si="0"/>
        <v>66</v>
      </c>
      <c r="B74" t="s">
        <v>55</v>
      </c>
      <c r="F74" s="44">
        <f>+F73/((D9*D14)+(D10*D15))</f>
        <v>0.66394045084344411</v>
      </c>
    </row>
    <row r="75" spans="1:10" x14ac:dyDescent="0.25">
      <c r="A75">
        <f t="shared" ref="A75:A76" si="1">+A74+1</f>
        <v>67</v>
      </c>
    </row>
    <row r="76" spans="1:10" x14ac:dyDescent="0.25">
      <c r="A76">
        <f t="shared" si="1"/>
        <v>68</v>
      </c>
      <c r="B76" t="s">
        <v>58</v>
      </c>
      <c r="C76" t="s">
        <v>12</v>
      </c>
      <c r="F76" s="37">
        <f>-F72/365</f>
        <v>12.697355487033221</v>
      </c>
    </row>
  </sheetData>
  <hyperlinks>
    <hyperlink ref="B5" r:id="rId1"/>
    <hyperlink ref="B6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8"/>
  <sheetViews>
    <sheetView workbookViewId="0">
      <selection activeCell="B1" sqref="B1"/>
    </sheetView>
  </sheetViews>
  <sheetFormatPr defaultRowHeight="15" x14ac:dyDescent="0.25"/>
  <cols>
    <col min="2" max="2" width="49.140625" bestFit="1" customWidth="1"/>
  </cols>
  <sheetData>
    <row r="2" spans="1:16" x14ac:dyDescent="0.25">
      <c r="B2" t="s">
        <v>64</v>
      </c>
    </row>
    <row r="3" spans="1:16" x14ac:dyDescent="0.25">
      <c r="B3" t="s">
        <v>65</v>
      </c>
    </row>
    <row r="5" spans="1:16" x14ac:dyDescent="0.25">
      <c r="D5" s="2" t="s">
        <v>59</v>
      </c>
      <c r="E5" s="2"/>
      <c r="F5" s="2"/>
      <c r="G5" s="2"/>
      <c r="H5" s="2" t="s">
        <v>60</v>
      </c>
      <c r="I5" s="2"/>
      <c r="J5" s="2"/>
      <c r="K5" s="2"/>
      <c r="L5" s="2" t="s">
        <v>61</v>
      </c>
      <c r="M5" s="2"/>
      <c r="N5" s="2"/>
      <c r="O5" s="2"/>
      <c r="P5" s="2" t="s">
        <v>62</v>
      </c>
    </row>
    <row r="8" spans="1:16" x14ac:dyDescent="0.25">
      <c r="C8" s="1" t="s">
        <v>0</v>
      </c>
    </row>
    <row r="9" spans="1:16" x14ac:dyDescent="0.25">
      <c r="A9">
        <v>1</v>
      </c>
      <c r="B9" t="s">
        <v>1</v>
      </c>
      <c r="C9" t="s">
        <v>2</v>
      </c>
      <c r="D9" s="3">
        <v>300</v>
      </c>
      <c r="H9" s="3">
        <v>300</v>
      </c>
      <c r="L9" s="3">
        <v>600</v>
      </c>
      <c r="P9" s="3">
        <v>0</v>
      </c>
    </row>
    <row r="10" spans="1:16" x14ac:dyDescent="0.25">
      <c r="A10">
        <f>+A9+1</f>
        <v>2</v>
      </c>
      <c r="B10" t="s">
        <v>3</v>
      </c>
      <c r="C10" t="s">
        <v>2</v>
      </c>
      <c r="D10" s="3">
        <v>50</v>
      </c>
      <c r="H10" s="3">
        <v>0</v>
      </c>
      <c r="L10" s="3">
        <v>0</v>
      </c>
      <c r="P10" s="3">
        <v>50</v>
      </c>
    </row>
    <row r="11" spans="1:16" x14ac:dyDescent="0.25">
      <c r="A11">
        <f t="shared" ref="A11:A74" si="0">+A10+1</f>
        <v>3</v>
      </c>
      <c r="B11" t="s">
        <v>4</v>
      </c>
      <c r="C11" t="s">
        <v>5</v>
      </c>
      <c r="D11" s="3">
        <v>2.75</v>
      </c>
      <c r="H11" s="3">
        <v>2.75</v>
      </c>
      <c r="L11" s="3">
        <v>2.75</v>
      </c>
      <c r="P11" s="3">
        <v>2.75</v>
      </c>
    </row>
    <row r="12" spans="1:16" x14ac:dyDescent="0.25">
      <c r="A12">
        <f t="shared" si="0"/>
        <v>4</v>
      </c>
      <c r="B12" t="s">
        <v>6</v>
      </c>
      <c r="C12" t="s">
        <v>7</v>
      </c>
      <c r="D12" s="4">
        <f>+D11*1000/(D9+D10)</f>
        <v>7.8571428571428568</v>
      </c>
      <c r="H12" s="4">
        <f>+H11*1000/(H9+H10)</f>
        <v>9.1666666666666661</v>
      </c>
      <c r="L12" s="4">
        <f>+L11*1000/(L9+L10)</f>
        <v>4.583333333333333</v>
      </c>
      <c r="P12" s="4">
        <f>+P11*1000/(P9+P10)</f>
        <v>55</v>
      </c>
    </row>
    <row r="13" spans="1:16" x14ac:dyDescent="0.25">
      <c r="A13">
        <f t="shared" si="0"/>
        <v>5</v>
      </c>
    </row>
    <row r="14" spans="1:16" x14ac:dyDescent="0.25">
      <c r="A14">
        <f t="shared" si="0"/>
        <v>6</v>
      </c>
      <c r="B14" t="s">
        <v>8</v>
      </c>
      <c r="C14" t="s">
        <v>9</v>
      </c>
      <c r="D14" s="5">
        <v>120</v>
      </c>
      <c r="H14" s="5">
        <v>120</v>
      </c>
      <c r="L14" s="5">
        <v>120</v>
      </c>
      <c r="P14" s="5">
        <v>120</v>
      </c>
    </row>
    <row r="15" spans="1:16" x14ac:dyDescent="0.25">
      <c r="A15">
        <f t="shared" si="0"/>
        <v>7</v>
      </c>
      <c r="B15" t="s">
        <v>10</v>
      </c>
      <c r="C15" t="s">
        <v>9</v>
      </c>
      <c r="D15" s="3">
        <v>400</v>
      </c>
      <c r="H15" s="3">
        <v>400</v>
      </c>
      <c r="L15" s="3">
        <v>400</v>
      </c>
      <c r="P15" s="3">
        <v>400</v>
      </c>
    </row>
    <row r="16" spans="1:16" x14ac:dyDescent="0.25">
      <c r="A16">
        <f t="shared" si="0"/>
        <v>8</v>
      </c>
    </row>
    <row r="17" spans="1:17" x14ac:dyDescent="0.25">
      <c r="A17">
        <f t="shared" si="0"/>
        <v>9</v>
      </c>
      <c r="B17" s="1" t="s">
        <v>63</v>
      </c>
    </row>
    <row r="18" spans="1:17" x14ac:dyDescent="0.25">
      <c r="A18">
        <f t="shared" si="0"/>
        <v>10</v>
      </c>
      <c r="B18" t="s">
        <v>11</v>
      </c>
      <c r="C18" t="s">
        <v>12</v>
      </c>
      <c r="D18" s="6">
        <v>14.89</v>
      </c>
      <c r="H18" s="6">
        <v>14.89</v>
      </c>
      <c r="L18" s="6">
        <v>14.89</v>
      </c>
      <c r="P18" s="6">
        <v>14.89</v>
      </c>
    </row>
    <row r="19" spans="1:17" x14ac:dyDescent="0.25">
      <c r="A19">
        <f t="shared" si="0"/>
        <v>11</v>
      </c>
      <c r="B19" t="s">
        <v>13</v>
      </c>
      <c r="C19" t="s">
        <v>12</v>
      </c>
      <c r="D19" s="6">
        <v>12.74</v>
      </c>
      <c r="H19" s="6">
        <v>12.74</v>
      </c>
      <c r="L19" s="6">
        <v>12.74</v>
      </c>
      <c r="P19" s="6">
        <v>12.74</v>
      </c>
    </row>
    <row r="20" spans="1:17" x14ac:dyDescent="0.25">
      <c r="A20">
        <f t="shared" si="0"/>
        <v>12</v>
      </c>
    </row>
    <row r="21" spans="1:17" x14ac:dyDescent="0.25">
      <c r="A21">
        <f t="shared" si="0"/>
        <v>13</v>
      </c>
      <c r="B21" t="s">
        <v>14</v>
      </c>
      <c r="C21" t="s">
        <v>15</v>
      </c>
      <c r="D21" s="7">
        <v>0.74670000000000003</v>
      </c>
      <c r="H21" s="7">
        <v>0.74670000000000003</v>
      </c>
      <c r="L21" s="7">
        <v>0.74670000000000003</v>
      </c>
      <c r="P21" s="7">
        <v>0.74670000000000003</v>
      </c>
    </row>
    <row r="22" spans="1:17" x14ac:dyDescent="0.25">
      <c r="A22">
        <f t="shared" si="0"/>
        <v>14</v>
      </c>
      <c r="B22" t="s">
        <v>16</v>
      </c>
      <c r="C22" t="s">
        <v>15</v>
      </c>
      <c r="D22" s="7">
        <f>+D21</f>
        <v>0.74670000000000003</v>
      </c>
      <c r="H22" s="7">
        <f>+H21</f>
        <v>0.74670000000000003</v>
      </c>
      <c r="L22" s="7">
        <f>+L21</f>
        <v>0.74670000000000003</v>
      </c>
      <c r="P22" s="7">
        <f>+P21</f>
        <v>0.74670000000000003</v>
      </c>
    </row>
    <row r="23" spans="1:17" x14ac:dyDescent="0.25">
      <c r="A23">
        <f t="shared" si="0"/>
        <v>15</v>
      </c>
      <c r="D23" s="8"/>
      <c r="H23" s="8"/>
      <c r="L23" s="8"/>
      <c r="P23" s="8"/>
    </row>
    <row r="24" spans="1:17" x14ac:dyDescent="0.25">
      <c r="A24">
        <f t="shared" si="0"/>
        <v>16</v>
      </c>
      <c r="B24" s="1" t="s">
        <v>17</v>
      </c>
      <c r="D24" s="8"/>
      <c r="H24" s="8"/>
      <c r="L24" s="8"/>
      <c r="P24" s="8"/>
    </row>
    <row r="25" spans="1:17" x14ac:dyDescent="0.25">
      <c r="A25">
        <f t="shared" si="0"/>
        <v>17</v>
      </c>
      <c r="B25" t="s">
        <v>18</v>
      </c>
      <c r="C25" s="9" t="s">
        <v>19</v>
      </c>
      <c r="D25" s="15">
        <f>4563*C59</f>
        <v>4678.2759512454613</v>
      </c>
      <c r="E25" s="10"/>
      <c r="H25" s="15">
        <f>4563*C59</f>
        <v>4678.2759512454613</v>
      </c>
      <c r="I25" s="10"/>
      <c r="L25" s="15">
        <f>4563*C59</f>
        <v>4678.2759512454613</v>
      </c>
      <c r="M25" s="10"/>
      <c r="P25" s="15">
        <f>4563*C59</f>
        <v>4678.2759512454613</v>
      </c>
      <c r="Q25" s="10"/>
    </row>
    <row r="26" spans="1:17" x14ac:dyDescent="0.25">
      <c r="A26">
        <f t="shared" si="0"/>
        <v>18</v>
      </c>
      <c r="B26" t="s">
        <v>20</v>
      </c>
      <c r="C26" s="9" t="s">
        <v>5</v>
      </c>
      <c r="D26" s="33">
        <f>2858400/1000</f>
        <v>2858.4</v>
      </c>
      <c r="E26" s="10"/>
      <c r="H26" s="33">
        <f>2858400/1000</f>
        <v>2858.4</v>
      </c>
      <c r="I26" s="10"/>
      <c r="L26" s="33">
        <f>2858400/1000</f>
        <v>2858.4</v>
      </c>
      <c r="M26" s="10"/>
      <c r="P26" s="33">
        <f>2858400/1000</f>
        <v>2858.4</v>
      </c>
      <c r="Q26" s="10"/>
    </row>
    <row r="27" spans="1:17" x14ac:dyDescent="0.25">
      <c r="A27">
        <f t="shared" si="0"/>
        <v>19</v>
      </c>
      <c r="B27" s="9" t="s">
        <v>21</v>
      </c>
      <c r="C27" s="9" t="s">
        <v>22</v>
      </c>
      <c r="D27" s="11">
        <f>+D25/(D26)</f>
        <v>1.6366764452999794</v>
      </c>
      <c r="E27" s="10"/>
      <c r="H27" s="11">
        <f>+H25/(H26)</f>
        <v>1.6366764452999794</v>
      </c>
      <c r="I27" s="10"/>
      <c r="L27" s="11">
        <f>+L25/(L26)</f>
        <v>1.6366764452999794</v>
      </c>
      <c r="M27" s="10"/>
      <c r="P27" s="11">
        <f>+P25/(P26)</f>
        <v>1.6366764452999794</v>
      </c>
      <c r="Q27" s="10"/>
    </row>
    <row r="28" spans="1:17" x14ac:dyDescent="0.25">
      <c r="A28">
        <f t="shared" si="0"/>
        <v>20</v>
      </c>
      <c r="B28" s="1" t="s">
        <v>23</v>
      </c>
      <c r="C28" s="9"/>
      <c r="D28" s="12"/>
      <c r="E28" s="10"/>
      <c r="H28" s="12"/>
      <c r="I28" s="10"/>
      <c r="L28" s="12"/>
      <c r="M28" s="10"/>
      <c r="P28" s="12"/>
      <c r="Q28" s="10"/>
    </row>
    <row r="29" spans="1:17" x14ac:dyDescent="0.25">
      <c r="A29">
        <f t="shared" si="0"/>
        <v>21</v>
      </c>
      <c r="B29" t="s">
        <v>24</v>
      </c>
      <c r="C29" s="9" t="s">
        <v>19</v>
      </c>
      <c r="D29" s="33">
        <f>999*C59</f>
        <v>1024.2379301543317</v>
      </c>
      <c r="E29" s="10"/>
      <c r="H29" s="33">
        <f>999*C59</f>
        <v>1024.2379301543317</v>
      </c>
      <c r="I29" s="10"/>
      <c r="L29" s="33">
        <f>999*C59</f>
        <v>1024.2379301543317</v>
      </c>
      <c r="M29" s="10"/>
      <c r="P29" s="33">
        <f>999*C59</f>
        <v>1024.2379301543317</v>
      </c>
      <c r="Q29" s="10"/>
    </row>
    <row r="30" spans="1:17" x14ac:dyDescent="0.25">
      <c r="A30">
        <f t="shared" si="0"/>
        <v>22</v>
      </c>
      <c r="B30" t="s">
        <v>20</v>
      </c>
      <c r="C30" s="9" t="s">
        <v>5</v>
      </c>
      <c r="D30" s="34">
        <f>+D26</f>
        <v>2858.4</v>
      </c>
      <c r="E30" s="10"/>
      <c r="H30" s="34">
        <f>+H26</f>
        <v>2858.4</v>
      </c>
      <c r="I30" s="10"/>
      <c r="L30" s="34">
        <f>+L26</f>
        <v>2858.4</v>
      </c>
      <c r="M30" s="10"/>
      <c r="P30" s="34">
        <f>+P26</f>
        <v>2858.4</v>
      </c>
      <c r="Q30" s="10"/>
    </row>
    <row r="31" spans="1:17" x14ac:dyDescent="0.25">
      <c r="A31">
        <f t="shared" si="0"/>
        <v>23</v>
      </c>
      <c r="B31" t="s">
        <v>25</v>
      </c>
      <c r="C31" s="9" t="s">
        <v>22</v>
      </c>
      <c r="D31" s="11">
        <f>+D29/(D30)</f>
        <v>0.35832561228461085</v>
      </c>
      <c r="E31" s="10"/>
      <c r="H31" s="11">
        <f>+H29/(H30)</f>
        <v>0.35832561228461085</v>
      </c>
      <c r="I31" s="10"/>
      <c r="L31" s="11">
        <f>+L29/(L30)</f>
        <v>0.35832561228461085</v>
      </c>
      <c r="M31" s="10"/>
      <c r="P31" s="11">
        <f>+P29/(P30)</f>
        <v>0.35832561228461085</v>
      </c>
      <c r="Q31" s="10"/>
    </row>
    <row r="32" spans="1:17" x14ac:dyDescent="0.25">
      <c r="A32">
        <f t="shared" si="0"/>
        <v>24</v>
      </c>
      <c r="B32" s="13" t="s">
        <v>26</v>
      </c>
      <c r="C32" s="9"/>
      <c r="D32" s="9"/>
      <c r="E32" s="9"/>
      <c r="H32" s="9"/>
      <c r="I32" s="9"/>
      <c r="L32" s="9"/>
      <c r="M32" s="9"/>
      <c r="P32" s="9"/>
      <c r="Q32" s="9"/>
    </row>
    <row r="33" spans="1:18" x14ac:dyDescent="0.25">
      <c r="A33">
        <f t="shared" si="0"/>
        <v>25</v>
      </c>
      <c r="B33" s="14" t="s">
        <v>27</v>
      </c>
      <c r="C33" s="9" t="s">
        <v>2</v>
      </c>
      <c r="D33" s="15">
        <f>+D9+D10</f>
        <v>350</v>
      </c>
      <c r="E33" s="9"/>
      <c r="H33" s="15">
        <f>+H9+H10</f>
        <v>300</v>
      </c>
      <c r="I33" s="9"/>
      <c r="L33" s="15">
        <f>+L9+L10</f>
        <v>600</v>
      </c>
      <c r="M33" s="9"/>
      <c r="P33" s="15">
        <f>+P9+P10</f>
        <v>50</v>
      </c>
      <c r="Q33" s="9"/>
    </row>
    <row r="34" spans="1:18" x14ac:dyDescent="0.25">
      <c r="A34">
        <f t="shared" si="0"/>
        <v>26</v>
      </c>
      <c r="B34" s="14" t="s">
        <v>28</v>
      </c>
      <c r="C34" s="9" t="s">
        <v>12</v>
      </c>
      <c r="D34" s="15">
        <f>250*C59</f>
        <v>256.31579833691984</v>
      </c>
      <c r="E34" s="16"/>
      <c r="F34" s="17"/>
      <c r="H34" s="15">
        <f>250*C59</f>
        <v>256.31579833691984</v>
      </c>
      <c r="I34" s="16"/>
      <c r="J34" s="17"/>
      <c r="L34" s="15">
        <f>250*C59</f>
        <v>256.31579833691984</v>
      </c>
      <c r="M34" s="16"/>
      <c r="N34" s="17"/>
      <c r="P34" s="15">
        <f>250*C59</f>
        <v>256.31579833691984</v>
      </c>
      <c r="Q34" s="16"/>
      <c r="R34" s="17"/>
    </row>
    <row r="35" spans="1:18" x14ac:dyDescent="0.25">
      <c r="A35">
        <f t="shared" si="0"/>
        <v>27</v>
      </c>
      <c r="B35" s="14" t="s">
        <v>29</v>
      </c>
      <c r="C35" s="9"/>
      <c r="D35" s="35">
        <v>4.7399999999999998E-2</v>
      </c>
      <c r="E35" s="18"/>
      <c r="F35" s="19"/>
      <c r="H35" s="35">
        <v>4.7399999999999998E-2</v>
      </c>
      <c r="I35" s="18"/>
      <c r="J35" s="19"/>
      <c r="L35" s="35">
        <v>4.7399999999999998E-2</v>
      </c>
      <c r="M35" s="18"/>
      <c r="N35" s="19"/>
      <c r="P35" s="35">
        <v>4.7399999999999998E-2</v>
      </c>
      <c r="Q35" s="18"/>
      <c r="R35" s="19"/>
    </row>
    <row r="36" spans="1:18" x14ac:dyDescent="0.25">
      <c r="A36">
        <f t="shared" si="0"/>
        <v>28</v>
      </c>
      <c r="B36" s="14" t="s">
        <v>30</v>
      </c>
      <c r="C36" s="9" t="s">
        <v>12</v>
      </c>
      <c r="D36" s="20">
        <f>+D34*D35</f>
        <v>12.14936884117</v>
      </c>
      <c r="E36" s="18"/>
      <c r="F36" s="19"/>
      <c r="H36" s="20">
        <f>+H34*H35</f>
        <v>12.14936884117</v>
      </c>
      <c r="I36" s="18"/>
      <c r="J36" s="19"/>
      <c r="L36" s="20">
        <f>+L34*L35</f>
        <v>12.14936884117</v>
      </c>
      <c r="M36" s="18"/>
      <c r="N36" s="19"/>
      <c r="P36" s="20">
        <f>+P34*P35</f>
        <v>12.14936884117</v>
      </c>
      <c r="Q36" s="18"/>
      <c r="R36" s="19"/>
    </row>
    <row r="37" spans="1:18" ht="15.75" thickBot="1" x14ac:dyDescent="0.3">
      <c r="A37">
        <f t="shared" si="0"/>
        <v>29</v>
      </c>
      <c r="D37" s="8"/>
      <c r="H37" s="8"/>
      <c r="L37" s="8"/>
      <c r="P37" s="8"/>
    </row>
    <row r="38" spans="1:18" ht="15.75" thickBot="1" x14ac:dyDescent="0.3">
      <c r="A38">
        <f t="shared" si="0"/>
        <v>30</v>
      </c>
      <c r="B38" s="1" t="s">
        <v>31</v>
      </c>
      <c r="C38" s="1" t="s">
        <v>12</v>
      </c>
      <c r="D38" s="21">
        <f>+(D11*1000*D27)+(D11*1000*D31)+(D33*D34*D35)</f>
        <v>9738.5347527671238</v>
      </c>
      <c r="H38" s="21">
        <f>+(H11*1000*H27)+(H11*1000*H31)+(H33*H34*H35)</f>
        <v>9131.0663107086239</v>
      </c>
      <c r="L38" s="21">
        <f>+(L11*1000*L27)+(L11*1000*L31)+(L33*L34*L35)</f>
        <v>12775.876963059623</v>
      </c>
      <c r="P38" s="21">
        <f>+(P11*1000*P27)+(P11*1000*P31)+(P33*P34*P35)</f>
        <v>6093.7241004161233</v>
      </c>
    </row>
    <row r="39" spans="1:18" x14ac:dyDescent="0.25">
      <c r="A39">
        <f t="shared" si="0"/>
        <v>31</v>
      </c>
      <c r="D39" s="8"/>
      <c r="H39" s="8"/>
      <c r="L39" s="8"/>
      <c r="P39" s="8"/>
    </row>
    <row r="40" spans="1:18" x14ac:dyDescent="0.25">
      <c r="A40">
        <f t="shared" si="0"/>
        <v>32</v>
      </c>
      <c r="D40" s="8" t="s">
        <v>32</v>
      </c>
      <c r="F40" t="s">
        <v>33</v>
      </c>
      <c r="H40" s="8" t="s">
        <v>32</v>
      </c>
      <c r="J40" t="s">
        <v>33</v>
      </c>
      <c r="L40" s="8" t="s">
        <v>32</v>
      </c>
      <c r="N40" t="s">
        <v>33</v>
      </c>
      <c r="P40" s="8" t="s">
        <v>32</v>
      </c>
      <c r="R40" t="s">
        <v>33</v>
      </c>
    </row>
    <row r="41" spans="1:18" x14ac:dyDescent="0.25">
      <c r="A41">
        <f t="shared" si="0"/>
        <v>33</v>
      </c>
      <c r="D41" s="8" t="s">
        <v>12</v>
      </c>
      <c r="F41" t="s">
        <v>15</v>
      </c>
      <c r="H41" s="8" t="s">
        <v>12</v>
      </c>
      <c r="J41" t="s">
        <v>15</v>
      </c>
      <c r="L41" s="8" t="s">
        <v>12</v>
      </c>
      <c r="N41" t="s">
        <v>15</v>
      </c>
      <c r="P41" s="8" t="s">
        <v>12</v>
      </c>
      <c r="R41" t="s">
        <v>15</v>
      </c>
    </row>
    <row r="42" spans="1:18" ht="15.75" thickBot="1" x14ac:dyDescent="0.3">
      <c r="A42">
        <f t="shared" si="0"/>
        <v>34</v>
      </c>
      <c r="D42" s="8"/>
      <c r="H42" s="8"/>
      <c r="L42" s="8"/>
      <c r="P42" s="8"/>
    </row>
    <row r="43" spans="1:18" ht="15.75" thickBot="1" x14ac:dyDescent="0.3">
      <c r="A43">
        <f t="shared" si="0"/>
        <v>35</v>
      </c>
      <c r="B43" s="1" t="s">
        <v>34</v>
      </c>
      <c r="C43" t="s">
        <v>12</v>
      </c>
      <c r="D43" s="21">
        <f>+((D9*D18)+(D10*D19)+(D9*D14*D21)+(D10*D15*D22))</f>
        <v>46919.199999999997</v>
      </c>
      <c r="F43" s="22">
        <f>+D43/((D9*D14)+(D10*D15))</f>
        <v>0.83784285714285711</v>
      </c>
      <c r="H43" s="21">
        <f>+((H9*H18)+(H10*H19)+(H9*H14*H21)+(H10*H15*H22))</f>
        <v>31348.2</v>
      </c>
      <c r="J43" s="22">
        <f>+H43/((H9*H14)+(H10*H15))</f>
        <v>0.87078333333333335</v>
      </c>
      <c r="L43" s="21">
        <f>+((L9*L18)+(L10*L19)+(L9*L14*L21)+(L10*L15*L22))</f>
        <v>62696.4</v>
      </c>
      <c r="N43" s="22">
        <f>+L43/((L9*L14)+(L10*L15))</f>
        <v>0.87078333333333335</v>
      </c>
      <c r="P43" s="21">
        <f>+((P9*P18)+(P10*P19)+(P9*P14*P21)+(P10*P15*P22))</f>
        <v>15571</v>
      </c>
      <c r="R43" s="22">
        <f>+P43/((P9*P14)+(P10*P15))</f>
        <v>0.77854999999999996</v>
      </c>
    </row>
    <row r="44" spans="1:18" ht="15.75" thickBot="1" x14ac:dyDescent="0.3">
      <c r="A44">
        <f t="shared" si="0"/>
        <v>36</v>
      </c>
      <c r="D44" s="23"/>
      <c r="H44" s="23"/>
      <c r="L44" s="23"/>
      <c r="P44" s="23"/>
    </row>
    <row r="45" spans="1:18" ht="15.75" thickBot="1" x14ac:dyDescent="0.3">
      <c r="A45">
        <f t="shared" si="0"/>
        <v>37</v>
      </c>
      <c r="B45" s="13" t="s">
        <v>35</v>
      </c>
      <c r="C45" s="9"/>
      <c r="D45" s="21">
        <f>+D38</f>
        <v>9738.5347527671238</v>
      </c>
      <c r="E45" s="9"/>
      <c r="H45" s="21">
        <f>+H38</f>
        <v>9131.0663107086239</v>
      </c>
      <c r="I45" s="9"/>
      <c r="L45" s="21">
        <f>+L38</f>
        <v>12775.876963059623</v>
      </c>
      <c r="M45" s="9"/>
      <c r="P45" s="21">
        <f>+P38</f>
        <v>6093.7241004161233</v>
      </c>
      <c r="Q45" s="9"/>
    </row>
    <row r="46" spans="1:18" ht="15.75" thickBot="1" x14ac:dyDescent="0.3">
      <c r="A46">
        <f t="shared" si="0"/>
        <v>38</v>
      </c>
    </row>
    <row r="47" spans="1:18" ht="15.75" thickBot="1" x14ac:dyDescent="0.3">
      <c r="A47">
        <f t="shared" si="0"/>
        <v>39</v>
      </c>
      <c r="B47" s="1" t="s">
        <v>36</v>
      </c>
      <c r="D47" s="21">
        <f>+D43-D45</f>
        <v>37180.665247232871</v>
      </c>
      <c r="F47" s="22">
        <f>+D47/((D9*D14)+(D10*D15))</f>
        <v>0.66394045084344411</v>
      </c>
      <c r="H47" s="21">
        <f>+H43-H45</f>
        <v>22217.133689291375</v>
      </c>
      <c r="J47" s="22">
        <f>+H47/((H9*H14)+(H10*H15))</f>
        <v>0.61714260248031594</v>
      </c>
      <c r="L47" s="21">
        <f>+L43-L45</f>
        <v>49920.52303694038</v>
      </c>
      <c r="N47" s="22">
        <f>+L47/((L9*L14)+(L10*L15))</f>
        <v>0.693340597735283</v>
      </c>
      <c r="P47" s="21">
        <f>+P43-P45</f>
        <v>9477.2758995838776</v>
      </c>
      <c r="R47" s="22">
        <f>+P47/((P9*P14)+(P10*P15))</f>
        <v>0.4738637949791939</v>
      </c>
    </row>
    <row r="48" spans="1:18" x14ac:dyDescent="0.25">
      <c r="A48">
        <f t="shared" si="0"/>
        <v>40</v>
      </c>
    </row>
    <row r="49" spans="1:18" x14ac:dyDescent="0.25">
      <c r="A49">
        <f t="shared" si="0"/>
        <v>41</v>
      </c>
      <c r="B49" s="1" t="s">
        <v>37</v>
      </c>
      <c r="D49" s="24">
        <f>+(D47/D43)-1</f>
        <v>-0.20755969310574618</v>
      </c>
      <c r="F49" s="24">
        <f>+(F47/F43)-1</f>
        <v>-0.20755969310574618</v>
      </c>
      <c r="H49" s="24">
        <f>+(H47/H43)-1</f>
        <v>-0.29127880741824497</v>
      </c>
      <c r="J49" s="24">
        <f>+(J47/J43)-1</f>
        <v>-0.29127880741824497</v>
      </c>
      <c r="L49" s="24">
        <f>+(L47/L43)-1</f>
        <v>-0.2037736929562084</v>
      </c>
      <c r="N49" s="24">
        <f>+(N47/N43)-1</f>
        <v>-0.2037736929562084</v>
      </c>
      <c r="P49" s="24">
        <f>+(P47/P43)-1</f>
        <v>-0.39135085096757583</v>
      </c>
      <c r="R49" s="24">
        <f>+(R47/R43)-1</f>
        <v>-0.39135085096757571</v>
      </c>
    </row>
    <row r="50" spans="1:18" x14ac:dyDescent="0.25">
      <c r="A50">
        <f t="shared" si="0"/>
        <v>42</v>
      </c>
    </row>
    <row r="51" spans="1:18" x14ac:dyDescent="0.25">
      <c r="A51">
        <f t="shared" si="0"/>
        <v>43</v>
      </c>
      <c r="B51" s="1" t="s">
        <v>38</v>
      </c>
    </row>
    <row r="52" spans="1:18" x14ac:dyDescent="0.25">
      <c r="A52">
        <f t="shared" si="0"/>
        <v>44</v>
      </c>
      <c r="B52" s="25" t="s">
        <v>39</v>
      </c>
      <c r="C52">
        <v>284.60000000000002</v>
      </c>
    </row>
    <row r="53" spans="1:18" x14ac:dyDescent="0.25">
      <c r="A53">
        <f t="shared" si="0"/>
        <v>45</v>
      </c>
      <c r="B53" s="25" t="s">
        <v>40</v>
      </c>
      <c r="C53">
        <v>283.3</v>
      </c>
    </row>
    <row r="54" spans="1:18" x14ac:dyDescent="0.25">
      <c r="A54">
        <f t="shared" si="0"/>
        <v>46</v>
      </c>
    </row>
    <row r="55" spans="1:18" x14ac:dyDescent="0.25">
      <c r="A55">
        <f t="shared" si="0"/>
        <v>47</v>
      </c>
      <c r="B55" s="26" t="s">
        <v>41</v>
      </c>
    </row>
    <row r="56" spans="1:18" x14ac:dyDescent="0.25">
      <c r="A56">
        <f t="shared" si="0"/>
        <v>48</v>
      </c>
      <c r="B56" s="27" t="s">
        <v>57</v>
      </c>
      <c r="C56" s="36">
        <v>109.1</v>
      </c>
    </row>
    <row r="57" spans="1:18" x14ac:dyDescent="0.25">
      <c r="A57">
        <f t="shared" si="0"/>
        <v>49</v>
      </c>
      <c r="B57" s="27" t="s">
        <v>42</v>
      </c>
      <c r="C57">
        <v>106.9</v>
      </c>
    </row>
    <row r="58" spans="1:18" x14ac:dyDescent="0.25">
      <c r="A58">
        <f t="shared" si="0"/>
        <v>50</v>
      </c>
      <c r="B58" s="27"/>
    </row>
    <row r="59" spans="1:18" x14ac:dyDescent="0.25">
      <c r="A59">
        <f t="shared" si="0"/>
        <v>51</v>
      </c>
      <c r="B59" t="s">
        <v>43</v>
      </c>
      <c r="C59" s="28">
        <f>+(C52/C53)*C56/C57</f>
        <v>1.0252631933476795</v>
      </c>
    </row>
    <row r="60" spans="1:18" x14ac:dyDescent="0.25">
      <c r="A60">
        <f t="shared" si="0"/>
        <v>52</v>
      </c>
      <c r="B60" s="29" t="s">
        <v>44</v>
      </c>
      <c r="C60" s="30">
        <f>+C59-1</f>
        <v>2.5263193347679458E-2</v>
      </c>
    </row>
    <row r="61" spans="1:18" x14ac:dyDescent="0.25">
      <c r="A61">
        <f t="shared" si="0"/>
        <v>53</v>
      </c>
    </row>
    <row r="62" spans="1:18" ht="15.75" thickBot="1" x14ac:dyDescent="0.3">
      <c r="A62">
        <f t="shared" si="0"/>
        <v>54</v>
      </c>
      <c r="B62" s="1" t="s">
        <v>48</v>
      </c>
    </row>
    <row r="63" spans="1:18" x14ac:dyDescent="0.25">
      <c r="A63">
        <f t="shared" si="0"/>
        <v>55</v>
      </c>
      <c r="B63" t="s">
        <v>49</v>
      </c>
      <c r="C63" t="s">
        <v>12</v>
      </c>
      <c r="F63" s="38">
        <f>+(D9*D18)+(D10*D19)</f>
        <v>5104</v>
      </c>
      <c r="J63" s="38">
        <f>+(H9*H18)+(H10*H19)</f>
        <v>4467</v>
      </c>
      <c r="N63" s="38">
        <f>+(L9*L18)+(L10*L19)</f>
        <v>8934</v>
      </c>
      <c r="R63" s="38">
        <f>+(P9*P18)+(P10*P19)</f>
        <v>637</v>
      </c>
    </row>
    <row r="64" spans="1:18" x14ac:dyDescent="0.25">
      <c r="A64">
        <f t="shared" si="0"/>
        <v>56</v>
      </c>
      <c r="B64" t="s">
        <v>50</v>
      </c>
      <c r="C64" t="s">
        <v>12</v>
      </c>
      <c r="F64" s="39">
        <f>+(D9*D14*D21)+(D10*D15*D22)</f>
        <v>41815.199999999997</v>
      </c>
      <c r="J64" s="39">
        <f>+(H9*H14*H21)+(H10*H15*H22)</f>
        <v>26881.200000000001</v>
      </c>
      <c r="N64" s="39">
        <f>+(L9*L14*L21)+(L10*L15*L22)</f>
        <v>53762.400000000001</v>
      </c>
      <c r="R64" s="39">
        <f>+(P9*P14*P21)+(P10*P15*P22)</f>
        <v>14934</v>
      </c>
    </row>
    <row r="65" spans="1:18" x14ac:dyDescent="0.25">
      <c r="A65">
        <f t="shared" si="0"/>
        <v>57</v>
      </c>
      <c r="B65" t="s">
        <v>51</v>
      </c>
      <c r="F65" s="39">
        <f>+D45</f>
        <v>9738.5347527671238</v>
      </c>
      <c r="J65" s="39">
        <f>+H45</f>
        <v>9131.0663107086239</v>
      </c>
      <c r="N65" s="39">
        <f>+L45</f>
        <v>12775.876963059623</v>
      </c>
      <c r="R65" s="39">
        <f>+P45</f>
        <v>6093.7241004161233</v>
      </c>
    </row>
    <row r="66" spans="1:18" ht="15.75" thickBot="1" x14ac:dyDescent="0.3">
      <c r="A66">
        <f t="shared" si="0"/>
        <v>58</v>
      </c>
      <c r="B66" t="s">
        <v>36</v>
      </c>
      <c r="C66" t="s">
        <v>12</v>
      </c>
      <c r="F66" s="40">
        <f>+F63+F64-F65</f>
        <v>37180.665247232871</v>
      </c>
      <c r="J66" s="40">
        <f>+J63+J64-J65</f>
        <v>22217.133689291375</v>
      </c>
      <c r="N66" s="40">
        <f>+N63+N64-N65</f>
        <v>49920.52303694038</v>
      </c>
      <c r="R66" s="40">
        <f>+R63+R64-R65</f>
        <v>9477.2758995838776</v>
      </c>
    </row>
    <row r="67" spans="1:18" ht="15.75" thickBot="1" x14ac:dyDescent="0.3">
      <c r="A67">
        <f t="shared" si="0"/>
        <v>59</v>
      </c>
    </row>
    <row r="68" spans="1:18" x14ac:dyDescent="0.25">
      <c r="A68">
        <f t="shared" si="0"/>
        <v>60</v>
      </c>
      <c r="B68" t="s">
        <v>52</v>
      </c>
      <c r="C68" t="s">
        <v>15</v>
      </c>
      <c r="F68" s="41">
        <f>+D21</f>
        <v>0.74670000000000003</v>
      </c>
      <c r="J68" s="41">
        <f>+H21</f>
        <v>0.74670000000000003</v>
      </c>
      <c r="N68" s="41">
        <f>+L21</f>
        <v>0.74670000000000003</v>
      </c>
      <c r="R68" s="41">
        <f>+P21</f>
        <v>0.74670000000000003</v>
      </c>
    </row>
    <row r="69" spans="1:18" ht="15.75" thickBot="1" x14ac:dyDescent="0.3">
      <c r="A69">
        <f t="shared" si="0"/>
        <v>61</v>
      </c>
      <c r="B69" t="s">
        <v>53</v>
      </c>
      <c r="C69" t="s">
        <v>12</v>
      </c>
      <c r="F69" s="40">
        <f>+F66-F64</f>
        <v>-4634.5347527671256</v>
      </c>
      <c r="J69" s="40">
        <f>+J66-J64</f>
        <v>-4664.0663107086257</v>
      </c>
      <c r="N69" s="40">
        <f>+N66-N64</f>
        <v>-3841.8769630596216</v>
      </c>
      <c r="R69" s="40">
        <f>+R66-R64</f>
        <v>-5456.7241004161224</v>
      </c>
    </row>
    <row r="70" spans="1:18" ht="15.75" thickBot="1" x14ac:dyDescent="0.3">
      <c r="A70">
        <f t="shared" si="0"/>
        <v>62</v>
      </c>
    </row>
    <row r="71" spans="1:18" x14ac:dyDescent="0.25">
      <c r="A71">
        <f t="shared" si="0"/>
        <v>63</v>
      </c>
      <c r="B71" t="s">
        <v>54</v>
      </c>
      <c r="C71" t="s">
        <v>9</v>
      </c>
      <c r="F71" s="42">
        <f>+F64</f>
        <v>41815.199999999997</v>
      </c>
      <c r="J71" s="42">
        <f>+J64</f>
        <v>26881.200000000001</v>
      </c>
      <c r="N71" s="42">
        <f>+N64</f>
        <v>53762.400000000001</v>
      </c>
      <c r="R71" s="42">
        <f>+R64</f>
        <v>14934</v>
      </c>
    </row>
    <row r="72" spans="1:18" x14ac:dyDescent="0.25">
      <c r="A72">
        <f t="shared" si="0"/>
        <v>64</v>
      </c>
      <c r="B72" t="s">
        <v>49</v>
      </c>
      <c r="C72" t="s">
        <v>12</v>
      </c>
      <c r="F72" s="39">
        <f>+F69</f>
        <v>-4634.5347527671256</v>
      </c>
      <c r="J72" s="39">
        <f>+J69</f>
        <v>-4664.0663107086257</v>
      </c>
      <c r="N72" s="39">
        <f>+N69</f>
        <v>-3841.8769630596216</v>
      </c>
      <c r="R72" s="39">
        <f>+R69</f>
        <v>-5456.7241004161224</v>
      </c>
    </row>
    <row r="73" spans="1:18" x14ac:dyDescent="0.25">
      <c r="A73">
        <f t="shared" si="0"/>
        <v>65</v>
      </c>
      <c r="B73" t="s">
        <v>36</v>
      </c>
      <c r="F73" s="43">
        <f>+F71+F72</f>
        <v>37180.665247232871</v>
      </c>
      <c r="J73" s="43">
        <f>+J71+J72</f>
        <v>22217.133689291375</v>
      </c>
      <c r="N73" s="43">
        <f>+N71+N72</f>
        <v>49920.52303694038</v>
      </c>
      <c r="R73" s="43">
        <f>+R71+R72</f>
        <v>9477.2758995838776</v>
      </c>
    </row>
    <row r="74" spans="1:18" ht="15.75" thickBot="1" x14ac:dyDescent="0.3">
      <c r="A74">
        <f t="shared" si="0"/>
        <v>66</v>
      </c>
      <c r="B74" t="s">
        <v>55</v>
      </c>
      <c r="F74" s="44">
        <f>+F73/((D9*D14)+(D10*D15))</f>
        <v>0.66394045084344411</v>
      </c>
      <c r="J74" s="44">
        <f>+J73/((H9*H14)+(H10*H15))</f>
        <v>0.61714260248031594</v>
      </c>
      <c r="N74" s="44">
        <f>+N73/((L9*L14)+(L10*L15))</f>
        <v>0.693340597735283</v>
      </c>
      <c r="R74" s="44">
        <f>+R73/((P9*P14)+(P10*P15))</f>
        <v>0.4738637949791939</v>
      </c>
    </row>
    <row r="75" spans="1:18" x14ac:dyDescent="0.25">
      <c r="A75">
        <f t="shared" ref="A75:A78" si="1">+A74+1</f>
        <v>67</v>
      </c>
    </row>
    <row r="76" spans="1:18" ht="15.75" thickBot="1" x14ac:dyDescent="0.3">
      <c r="A76">
        <f t="shared" si="1"/>
        <v>68</v>
      </c>
      <c r="B76" t="s">
        <v>66</v>
      </c>
      <c r="F76" s="37"/>
      <c r="J76" s="37"/>
      <c r="N76" s="37"/>
      <c r="R76" s="37"/>
    </row>
    <row r="77" spans="1:18" x14ac:dyDescent="0.25">
      <c r="A77">
        <f t="shared" si="1"/>
        <v>69</v>
      </c>
      <c r="B77" t="s">
        <v>67</v>
      </c>
      <c r="C77" t="s">
        <v>15</v>
      </c>
      <c r="F77" s="41">
        <f>+F68</f>
        <v>0.74670000000000003</v>
      </c>
      <c r="J77" s="41">
        <f>+J68</f>
        <v>0.74670000000000003</v>
      </c>
      <c r="N77" s="41">
        <f>+N68</f>
        <v>0.74670000000000003</v>
      </c>
      <c r="R77" s="41">
        <f>+R68</f>
        <v>0.74670000000000003</v>
      </c>
    </row>
    <row r="78" spans="1:18" ht="15.75" thickBot="1" x14ac:dyDescent="0.3">
      <c r="A78">
        <f t="shared" si="1"/>
        <v>70</v>
      </c>
      <c r="B78" t="s">
        <v>68</v>
      </c>
      <c r="C78" s="45" t="s">
        <v>12</v>
      </c>
      <c r="F78" s="46">
        <f>-F69/365</f>
        <v>12.697355487033221</v>
      </c>
      <c r="J78" s="46">
        <f>-J69/365</f>
        <v>12.778263864955139</v>
      </c>
      <c r="N78" s="46">
        <f>-N69/365</f>
        <v>10.525690309752388</v>
      </c>
      <c r="R78" s="46">
        <f>-R69/365</f>
        <v>14.949929042235953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Ready Reckoner</vt:lpstr>
      <vt:lpstr>Scenarios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Morley, Steve</dc:creator>
  <cp:lastModifiedBy>Steve Morley</cp:lastModifiedBy>
  <dcterms:created xsi:type="dcterms:W3CDTF">2020-04-08T13:53:23Z</dcterms:created>
  <dcterms:modified xsi:type="dcterms:W3CDTF">2021-02-18T13:39:10Z</dcterms:modified>
</cp:coreProperties>
</file>