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pwl.local\pwl\finance\AcctPub\CJ\Customer Tariffs\NAV Tariffs\"/>
    </mc:Choice>
  </mc:AlternateContent>
  <xr:revisionPtr revIDLastSave="0" documentId="13_ncr:1_{0A268822-976A-44B8-8356-C776391D86FA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Ready Reckoner 23-24" sheetId="13" r:id="rId1"/>
    <sheet name="Scenarios 23-24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3" l="1"/>
  <c r="D31" i="13"/>
  <c r="A86" i="12"/>
  <c r="A87" i="12" s="1"/>
  <c r="A88" i="12" s="1"/>
  <c r="A89" i="12" s="1"/>
  <c r="A90" i="12" s="1"/>
  <c r="R88" i="12"/>
  <c r="R89" i="12" s="1"/>
  <c r="R90" i="12" s="1"/>
  <c r="N89" i="12"/>
  <c r="N90" i="12" s="1"/>
  <c r="N88" i="12"/>
  <c r="J89" i="12"/>
  <c r="J90" i="12" s="1"/>
  <c r="J88" i="12"/>
  <c r="F88" i="12"/>
  <c r="R81" i="12"/>
  <c r="N81" i="12"/>
  <c r="J81" i="12"/>
  <c r="R79" i="12"/>
  <c r="N79" i="12"/>
  <c r="J79" i="12"/>
  <c r="R27" i="12"/>
  <c r="R83" i="12"/>
  <c r="N83" i="12"/>
  <c r="N26" i="12" s="1"/>
  <c r="R82" i="12"/>
  <c r="N82" i="12"/>
  <c r="J26" i="12"/>
  <c r="J83" i="12"/>
  <c r="J82" i="12"/>
  <c r="J76" i="12"/>
  <c r="L26" i="12"/>
  <c r="T53" i="12"/>
  <c r="P53" i="12"/>
  <c r="T57" i="12"/>
  <c r="P57" i="12"/>
  <c r="L57" i="12"/>
  <c r="L53" i="12"/>
  <c r="R53" i="12"/>
  <c r="N53" i="12"/>
  <c r="J53" i="12"/>
  <c r="R43" i="12"/>
  <c r="N43" i="12"/>
  <c r="J43" i="12"/>
  <c r="J48" i="12" s="1"/>
  <c r="F43" i="12"/>
  <c r="T27" i="12" l="1"/>
  <c r="P26" i="12"/>
  <c r="A67" i="12" l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C66" i="12"/>
  <c r="C67" i="12" s="1"/>
  <c r="R48" i="12"/>
  <c r="R55" i="12" s="1"/>
  <c r="R57" i="12" s="1"/>
  <c r="N48" i="12"/>
  <c r="N55" i="12" s="1"/>
  <c r="J55" i="12"/>
  <c r="J57" i="12" s="1"/>
  <c r="F48" i="12"/>
  <c r="F55" i="12" s="1"/>
  <c r="F72" i="12" s="1"/>
  <c r="H28" i="12"/>
  <c r="R10" i="12"/>
  <c r="N10" i="12"/>
  <c r="J10" i="12"/>
  <c r="F10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D53" i="13"/>
  <c r="F53" i="12" s="1"/>
  <c r="A30" i="13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F32" i="13"/>
  <c r="D38" i="13" s="1"/>
  <c r="F70" i="13"/>
  <c r="F80" i="13" s="1"/>
  <c r="F71" i="13"/>
  <c r="F71" i="12" s="1"/>
  <c r="C66" i="13"/>
  <c r="D39" i="13"/>
  <c r="D33" i="13"/>
  <c r="D34" i="13" s="1"/>
  <c r="D27" i="13"/>
  <c r="D26" i="13"/>
  <c r="F53" i="13" l="1"/>
  <c r="H53" i="12" s="1"/>
  <c r="F70" i="12"/>
  <c r="F73" i="12"/>
  <c r="R72" i="12"/>
  <c r="R73" i="12" s="1"/>
  <c r="N57" i="12"/>
  <c r="N72" i="12"/>
  <c r="N73" i="12" s="1"/>
  <c r="J72" i="12"/>
  <c r="J73" i="12" s="1"/>
  <c r="F77" i="13"/>
  <c r="F31" i="13"/>
  <c r="D37" i="13" s="1"/>
  <c r="D40" i="13" s="1"/>
  <c r="H70" i="13"/>
  <c r="D28" i="13"/>
  <c r="H80" i="13" l="1"/>
  <c r="H77" i="13"/>
  <c r="F76" i="13"/>
  <c r="D43" i="13"/>
  <c r="D10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49" i="12"/>
  <c r="A50" i="12" s="1"/>
  <c r="A51" i="12" s="1"/>
  <c r="A52" i="12" s="1"/>
  <c r="A53" i="12" s="1"/>
  <c r="A54" i="12" s="1"/>
  <c r="A55" i="12" s="1"/>
  <c r="A56" i="12" s="1"/>
  <c r="A57" i="12" s="1"/>
  <c r="A58" i="12" l="1"/>
  <c r="A59" i="12" s="1"/>
  <c r="A60" i="12" s="1"/>
  <c r="A61" i="12" s="1"/>
  <c r="A62" i="12" s="1"/>
  <c r="A63" i="12" s="1"/>
  <c r="A64" i="12" s="1"/>
  <c r="A65" i="12" s="1"/>
  <c r="A66" i="12" s="1"/>
  <c r="F79" i="13"/>
  <c r="C67" i="13"/>
  <c r="D44" i="13"/>
  <c r="D46" i="13" s="1"/>
  <c r="D48" i="13" l="1"/>
  <c r="D55" i="13" s="1"/>
  <c r="G72" i="13" l="1"/>
  <c r="G71" i="13" s="1"/>
  <c r="H71" i="13" s="1"/>
  <c r="H79" i="13" s="1"/>
  <c r="D57" i="13"/>
  <c r="F57" i="13" s="1"/>
  <c r="H76" i="13" l="1"/>
  <c r="P59" i="12"/>
  <c r="P61" i="12" s="1"/>
  <c r="L59" i="12"/>
  <c r="L61" i="12" s="1"/>
  <c r="H73" i="13"/>
  <c r="F81" i="13"/>
  <c r="F82" i="13" s="1"/>
  <c r="F85" i="13" s="1"/>
  <c r="H81" i="13" l="1"/>
  <c r="H82" i="13" s="1"/>
  <c r="H85" i="13" s="1"/>
  <c r="D85" i="13" s="1"/>
  <c r="F85" i="12" s="1"/>
  <c r="J85" i="12" s="1"/>
  <c r="N85" i="12" s="1"/>
  <c r="R85" i="12" s="1"/>
  <c r="F59" i="13"/>
  <c r="F61" i="13" s="1"/>
  <c r="H57" i="12"/>
  <c r="T59" i="12"/>
  <c r="T61" i="12" s="1"/>
  <c r="H83" i="13" l="1"/>
  <c r="F26" i="13" s="1"/>
  <c r="H59" i="12"/>
  <c r="F76" i="12"/>
  <c r="F27" i="13" l="1"/>
  <c r="G27" i="13" s="1"/>
  <c r="H61" i="12"/>
  <c r="G26" i="13"/>
  <c r="F28" i="13" l="1"/>
  <c r="G28" i="13" s="1"/>
  <c r="F57" i="12"/>
  <c r="F79" i="12" s="1"/>
  <c r="F81" i="12" s="1"/>
  <c r="F89" i="12" l="1"/>
  <c r="F90" i="12" s="1"/>
</calcChain>
</file>

<file path=xl/sharedStrings.xml><?xml version="1.0" encoding="utf-8"?>
<sst xmlns="http://schemas.openxmlformats.org/spreadsheetml/2006/main" count="245" uniqueCount="81">
  <si>
    <t>Units</t>
  </si>
  <si>
    <t>Number of households</t>
  </si>
  <si>
    <t>Length of mains</t>
  </si>
  <si>
    <t>km</t>
  </si>
  <si>
    <t>Implied density rate</t>
  </si>
  <si>
    <t>Annual water demand per household</t>
  </si>
  <si>
    <t>m3</t>
  </si>
  <si>
    <t>Annual water demand per non-household</t>
  </si>
  <si>
    <t>£</t>
  </si>
  <si>
    <t>Household volume charge</t>
  </si>
  <si>
    <t>£/m3</t>
  </si>
  <si>
    <t>£ 000s</t>
  </si>
  <si>
    <t>Length of local distribution</t>
  </si>
  <si>
    <t>Implied opex per metre (length)</t>
  </si>
  <si>
    <t>£/m</t>
  </si>
  <si>
    <t>Return on investment</t>
  </si>
  <si>
    <t>No. of meters on site</t>
  </si>
  <si>
    <t>Unit cost (£/meter)</t>
  </si>
  <si>
    <t>Cost of capital</t>
  </si>
  <si>
    <t>Return per meter (asset)</t>
  </si>
  <si>
    <t>Total Cost forgone</t>
  </si>
  <si>
    <t>Cost</t>
  </si>
  <si>
    <t>Unit Rate</t>
  </si>
  <si>
    <t>Wholesale Charge</t>
  </si>
  <si>
    <t>NAV charge</t>
  </si>
  <si>
    <t>Reduction on standard charges</t>
  </si>
  <si>
    <t>Consumer Price Index</t>
  </si>
  <si>
    <t>Indexation</t>
  </si>
  <si>
    <t>Inflator</t>
  </si>
  <si>
    <t>Standing charge income</t>
  </si>
  <si>
    <t>Volume charge income</t>
  </si>
  <si>
    <t>Cost forgone</t>
  </si>
  <si>
    <t>Volume charge</t>
  </si>
  <si>
    <t>Annual Fixed Charge</t>
  </si>
  <si>
    <t>Volume income</t>
  </si>
  <si>
    <t>Unit price</t>
  </si>
  <si>
    <t>The 4 scenarios shown allow the user to understand the impact different property arrangments will have on our NAV charge.</t>
  </si>
  <si>
    <t>A</t>
  </si>
  <si>
    <t>B</t>
  </si>
  <si>
    <t>C</t>
  </si>
  <si>
    <t>D</t>
  </si>
  <si>
    <t>Contact Jamie Jones</t>
  </si>
  <si>
    <t>jamie.jones@portsmouthwater.co.uk</t>
  </si>
  <si>
    <t>Portsmouth Water NAV tariff (2023/24)</t>
  </si>
  <si>
    <t>Number of non-households</t>
  </si>
  <si>
    <t>Wholesale Tariffs (from 1 July 2023)</t>
  </si>
  <si>
    <t>Household measured standing charge</t>
  </si>
  <si>
    <t>Non-household measured standing charge</t>
  </si>
  <si>
    <t>nr</t>
  </si>
  <si>
    <t>m/nr</t>
  </si>
  <si>
    <t>Average measured household bill</t>
  </si>
  <si>
    <t>Average measured non-household bill</t>
  </si>
  <si>
    <t>Weighted average bill</t>
  </si>
  <si>
    <t>SOC</t>
  </si>
  <si>
    <t>NAV</t>
  </si>
  <si>
    <t>Operating and Maintenance Costs (exclu. overheads)  (2021/22 inflated)</t>
  </si>
  <si>
    <t>Local distribution operating costs - volumetric</t>
  </si>
  <si>
    <t>*Local distribution operating costs - fixed</t>
  </si>
  <si>
    <t>Overhead Costs</t>
  </si>
  <si>
    <t>Shared central costs - volumetric</t>
  </si>
  <si>
    <t>Property numbers</t>
  </si>
  <si>
    <t>Overhead charge per property</t>
  </si>
  <si>
    <t>Costs forgone - NAV customers</t>
  </si>
  <si>
    <t>NAV charge after reduction for leakage of 3.5%</t>
  </si>
  <si>
    <t>November 2022</t>
  </si>
  <si>
    <t>November 2020</t>
  </si>
  <si>
    <t>Build up of NAV property income</t>
  </si>
  <si>
    <t>Deductions</t>
  </si>
  <si>
    <t>Weighted average Tariffs</t>
  </si>
  <si>
    <t>So each day the NAV pay per cubic metre less:</t>
  </si>
  <si>
    <t>Discount</t>
  </si>
  <si>
    <t>Unit price after leakage adjustment of 3.5%</t>
  </si>
  <si>
    <t>Number of PWL measured households</t>
  </si>
  <si>
    <t>Number of PWL measured non-households</t>
  </si>
  <si>
    <t>*All of the fixed elements of the excluded costs are removed, so that the final NAV tariff only reflects the variable elements.</t>
  </si>
  <si>
    <t>*Shared central costs - fixed</t>
  </si>
  <si>
    <t>Non-houeshold volume charge (standard)</t>
  </si>
  <si>
    <t>Detailed discussion is provided in our NAV document, 2023/24</t>
  </si>
  <si>
    <t>Charging of the tariff</t>
  </si>
  <si>
    <t>Standard volume charge</t>
  </si>
  <si>
    <t>Discount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</si>
</sst>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0.000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_-* #,##0.000_-;\-* #,##0.000_-;_-* &quot;-&quot;??_-;_-@_-"/>
    <numFmt numFmtId="170" formatCode="#,##0.000;\-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2" fontId="0" fillId="3" borderId="0" xfId="0" applyNumberFormat="1" applyFill="1"/>
    <xf numFmtId="165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3" borderId="0" xfId="0" applyNumberFormat="1" applyFill="1"/>
    <xf numFmtId="1" fontId="0" fillId="0" borderId="0" xfId="0" applyNumberFormat="1"/>
    <xf numFmtId="10" fontId="0" fillId="0" borderId="0" xfId="2" applyNumberFormat="1" applyFont="1" applyFill="1" applyBorder="1"/>
    <xf numFmtId="2" fontId="0" fillId="3" borderId="0" xfId="2" applyNumberFormat="1" applyFont="1" applyFill="1" applyBorder="1"/>
    <xf numFmtId="165" fontId="0" fillId="3" borderId="1" xfId="0" applyNumberFormat="1" applyFill="1" applyBorder="1"/>
    <xf numFmtId="9" fontId="0" fillId="0" borderId="0" xfId="2" applyFont="1"/>
    <xf numFmtId="0" fontId="2" fillId="0" borderId="0" xfId="0" applyFont="1" applyAlignment="1">
      <alignment vertical="center"/>
    </xf>
    <xf numFmtId="17" fontId="0" fillId="0" borderId="0" xfId="0" quotePrefix="1" applyNumberFormat="1" applyAlignment="1">
      <alignment vertical="center"/>
    </xf>
    <xf numFmtId="17" fontId="0" fillId="0" borderId="0" xfId="0" applyNumberFormat="1" applyAlignment="1">
      <alignment vertical="center"/>
    </xf>
    <xf numFmtId="166" fontId="0" fillId="0" borderId="0" xfId="2" applyNumberFormat="1" applyFont="1"/>
    <xf numFmtId="0" fontId="3" fillId="0" borderId="0" xfId="3"/>
    <xf numFmtId="10" fontId="0" fillId="3" borderId="0" xfId="2" applyNumberFormat="1" applyFont="1" applyFill="1" applyBorder="1"/>
    <xf numFmtId="1" fontId="0" fillId="3" borderId="3" xfId="0" applyNumberFormat="1" applyFill="1" applyBorder="1"/>
    <xf numFmtId="3" fontId="0" fillId="3" borderId="2" xfId="0" applyNumberFormat="1" applyFill="1" applyBorder="1"/>
    <xf numFmtId="3" fontId="0" fillId="0" borderId="0" xfId="0" applyNumberFormat="1"/>
    <xf numFmtId="3" fontId="0" fillId="3" borderId="3" xfId="0" applyNumberFormat="1" applyFill="1" applyBorder="1"/>
    <xf numFmtId="165" fontId="0" fillId="3" borderId="4" xfId="0" applyNumberFormat="1" applyFill="1" applyBorder="1"/>
    <xf numFmtId="2" fontId="0" fillId="3" borderId="4" xfId="0" applyNumberFormat="1" applyFill="1" applyBorder="1"/>
    <xf numFmtId="167" fontId="0" fillId="3" borderId="1" xfId="1" applyNumberFormat="1" applyFont="1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168" fontId="0" fillId="3" borderId="0" xfId="1" applyNumberFormat="1" applyFont="1" applyFill="1" applyAlignment="1">
      <alignment horizontal="right"/>
    </xf>
    <xf numFmtId="167" fontId="0" fillId="3" borderId="0" xfId="1" applyNumberFormat="1" applyFont="1" applyFill="1"/>
    <xf numFmtId="167" fontId="0" fillId="3" borderId="0" xfId="1" applyNumberFormat="1" applyFont="1" applyFill="1" applyAlignment="1">
      <alignment horizontal="right"/>
    </xf>
    <xf numFmtId="169" fontId="0" fillId="3" borderId="0" xfId="1" applyNumberFormat="1" applyFont="1" applyFill="1" applyAlignment="1">
      <alignment horizontal="right"/>
    </xf>
    <xf numFmtId="0" fontId="4" fillId="0" borderId="0" xfId="0" applyFont="1"/>
    <xf numFmtId="0" fontId="0" fillId="4" borderId="0" xfId="0" applyFill="1"/>
    <xf numFmtId="1" fontId="0" fillId="4" borderId="0" xfId="0" applyNumberFormat="1" applyFill="1"/>
    <xf numFmtId="167" fontId="0" fillId="4" borderId="0" xfId="1" applyNumberFormat="1" applyFont="1" applyFill="1"/>
    <xf numFmtId="2" fontId="0" fillId="4" borderId="0" xfId="0" applyNumberFormat="1" applyFill="1"/>
    <xf numFmtId="164" fontId="0" fillId="4" borderId="0" xfId="0" applyNumberFormat="1" applyFill="1"/>
    <xf numFmtId="2" fontId="0" fillId="3" borderId="0" xfId="0" applyNumberFormat="1" applyFill="1" applyAlignment="1">
      <alignment horizontal="right"/>
    </xf>
    <xf numFmtId="165" fontId="2" fillId="3" borderId="1" xfId="0" applyNumberFormat="1" applyFont="1" applyFill="1" applyBorder="1"/>
    <xf numFmtId="9" fontId="2" fillId="0" borderId="0" xfId="2" applyFont="1"/>
    <xf numFmtId="0" fontId="4" fillId="0" borderId="0" xfId="0" applyFont="1" applyAlignment="1">
      <alignment horizontal="center"/>
    </xf>
    <xf numFmtId="37" fontId="0" fillId="3" borderId="2" xfId="1" applyNumberFormat="1" applyFont="1" applyFill="1" applyBorder="1"/>
    <xf numFmtId="37" fontId="0" fillId="3" borderId="3" xfId="1" applyNumberFormat="1" applyFont="1" applyFill="1" applyBorder="1"/>
    <xf numFmtId="37" fontId="0" fillId="3" borderId="4" xfId="1" applyNumberFormat="1" applyFont="1" applyFill="1" applyBorder="1"/>
    <xf numFmtId="170" fontId="0" fillId="3" borderId="2" xfId="1" applyNumberFormat="1" applyFont="1" applyFill="1" applyBorder="1"/>
    <xf numFmtId="39" fontId="0" fillId="3" borderId="4" xfId="1" applyNumberFormat="1" applyFont="1" applyFill="1" applyBorder="1"/>
    <xf numFmtId="170" fontId="0" fillId="3" borderId="3" xfId="0" applyNumberFormat="1" applyFill="1" applyBorder="1"/>
    <xf numFmtId="170" fontId="2" fillId="3" borderId="4" xfId="0" applyNumberFormat="1" applyFont="1" applyFill="1" applyBorder="1"/>
    <xf numFmtId="165" fontId="0" fillId="3" borderId="2" xfId="0" applyNumberForma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4" fillId="2" borderId="0" xfId="0" applyFont="1" applyFill="1"/>
    <xf numFmtId="2" fontId="4" fillId="3" borderId="0" xfId="0" applyNumberFormat="1" applyFont="1" applyFill="1"/>
    <xf numFmtId="167" fontId="4" fillId="4" borderId="0" xfId="1" applyNumberFormat="1" applyFont="1" applyFill="1"/>
    <xf numFmtId="1" fontId="4" fillId="4" borderId="0" xfId="0" applyNumberFormat="1" applyFont="1" applyFill="1"/>
    <xf numFmtId="0" fontId="4" fillId="4" borderId="0" xfId="0" applyFont="1" applyFill="1"/>
    <xf numFmtId="2" fontId="4" fillId="4" borderId="0" xfId="0" applyNumberFormat="1" applyFont="1" applyFill="1"/>
    <xf numFmtId="164" fontId="4" fillId="4" borderId="0" xfId="0" applyNumberFormat="1" applyFont="1" applyFill="1"/>
    <xf numFmtId="1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9" fontId="4" fillId="0" borderId="0" xfId="0" applyNumberFormat="1" applyFont="1"/>
    <xf numFmtId="167" fontId="4" fillId="3" borderId="0" xfId="1" applyNumberFormat="1" applyFont="1" applyFill="1"/>
    <xf numFmtId="167" fontId="4" fillId="3" borderId="0" xfId="1" applyNumberFormat="1" applyFont="1" applyFill="1" applyAlignment="1">
      <alignment horizontal="right"/>
    </xf>
    <xf numFmtId="168" fontId="4" fillId="3" borderId="0" xfId="1" applyNumberFormat="1" applyFont="1" applyFill="1" applyAlignment="1">
      <alignment horizontal="right"/>
    </xf>
    <xf numFmtId="169" fontId="4" fillId="3" borderId="0" xfId="1" applyNumberFormat="1" applyFont="1" applyFill="1" applyAlignment="1">
      <alignment horizontal="right"/>
    </xf>
    <xf numFmtId="1" fontId="4" fillId="0" borderId="0" xfId="0" applyNumberFormat="1" applyFont="1"/>
    <xf numFmtId="10" fontId="4" fillId="0" borderId="0" xfId="2" applyNumberFormat="1" applyFont="1" applyFill="1" applyBorder="1"/>
    <xf numFmtId="10" fontId="4" fillId="0" borderId="0" xfId="2" applyNumberFormat="1" applyFont="1"/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1" fontId="4" fillId="3" borderId="0" xfId="0" applyNumberFormat="1" applyFont="1" applyFill="1"/>
    <xf numFmtId="10" fontId="4" fillId="3" borderId="0" xfId="2" applyNumberFormat="1" applyFont="1" applyFill="1" applyBorder="1"/>
    <xf numFmtId="2" fontId="4" fillId="3" borderId="0" xfId="2" applyNumberFormat="1" applyFont="1" applyFill="1" applyBorder="1"/>
    <xf numFmtId="167" fontId="4" fillId="3" borderId="1" xfId="1" applyNumberFormat="1" applyFont="1" applyFill="1" applyBorder="1"/>
    <xf numFmtId="165" fontId="4" fillId="0" borderId="0" xfId="0" applyNumberFormat="1" applyFont="1"/>
    <xf numFmtId="165" fontId="4" fillId="3" borderId="1" xfId="0" applyNumberFormat="1" applyFont="1" applyFill="1" applyBorder="1"/>
    <xf numFmtId="165" fontId="5" fillId="3" borderId="1" xfId="0" applyNumberFormat="1" applyFont="1" applyFill="1" applyBorder="1"/>
    <xf numFmtId="9" fontId="4" fillId="0" borderId="0" xfId="2" applyFont="1"/>
    <xf numFmtId="0" fontId="5" fillId="0" borderId="0" xfId="0" applyFont="1" applyAlignment="1">
      <alignment vertical="center"/>
    </xf>
    <xf numFmtId="17" fontId="4" fillId="0" borderId="0" xfId="0" quotePrefix="1" applyNumberFormat="1" applyFont="1" applyAlignment="1">
      <alignment vertical="center"/>
    </xf>
    <xf numFmtId="17" fontId="4" fillId="0" borderId="0" xfId="0" applyNumberFormat="1" applyFont="1" applyAlignment="1">
      <alignment vertical="center"/>
    </xf>
    <xf numFmtId="166" fontId="4" fillId="0" borderId="0" xfId="2" applyNumberFormat="1" applyFont="1"/>
    <xf numFmtId="37" fontId="4" fillId="3" borderId="2" xfId="1" applyNumberFormat="1" applyFont="1" applyFill="1" applyBorder="1"/>
    <xf numFmtId="37" fontId="4" fillId="3" borderId="3" xfId="1" applyNumberFormat="1" applyFont="1" applyFill="1" applyBorder="1"/>
    <xf numFmtId="37" fontId="4" fillId="3" borderId="4" xfId="1" applyNumberFormat="1" applyFont="1" applyFill="1" applyBorder="1"/>
    <xf numFmtId="170" fontId="4" fillId="3" borderId="2" xfId="1" applyNumberFormat="1" applyFont="1" applyFill="1" applyBorder="1"/>
    <xf numFmtId="39" fontId="4" fillId="3" borderId="4" xfId="1" applyNumberFormat="1" applyFont="1" applyFill="1" applyBorder="1"/>
    <xf numFmtId="3" fontId="4" fillId="3" borderId="2" xfId="0" applyNumberFormat="1" applyFont="1" applyFill="1" applyBorder="1"/>
    <xf numFmtId="1" fontId="4" fillId="3" borderId="3" xfId="0" applyNumberFormat="1" applyFont="1" applyFill="1" applyBorder="1"/>
    <xf numFmtId="3" fontId="4" fillId="3" borderId="3" xfId="0" applyNumberFormat="1" applyFont="1" applyFill="1" applyBorder="1"/>
    <xf numFmtId="170" fontId="4" fillId="3" borderId="3" xfId="0" applyNumberFormat="1" applyFont="1" applyFill="1" applyBorder="1"/>
    <xf numFmtId="170" fontId="5" fillId="3" borderId="4" xfId="0" applyNumberFormat="1" applyFont="1" applyFill="1" applyBorder="1"/>
    <xf numFmtId="0" fontId="4" fillId="0" borderId="0" xfId="0" quotePrefix="1" applyFont="1"/>
    <xf numFmtId="38" fontId="4" fillId="0" borderId="0" xfId="1" applyNumberFormat="1" applyFont="1"/>
    <xf numFmtId="38" fontId="4" fillId="0" borderId="0" xfId="0" applyNumberFormat="1" applyFont="1"/>
    <xf numFmtId="40" fontId="4" fillId="0" borderId="0" xfId="0" applyNumberFormat="1" applyFont="1"/>
    <xf numFmtId="167" fontId="6" fillId="3" borderId="0" xfId="1" applyNumberFormat="1" applyFont="1" applyFill="1" applyAlignment="1">
      <alignment horizontal="right"/>
    </xf>
    <xf numFmtId="0" fontId="4" fillId="0" borderId="0" xfId="0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.jones@portsmouthwater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J87"/>
  <sheetViews>
    <sheetView tabSelected="1" workbookViewId="0">
      <selection activeCell="H4" sqref="H4"/>
    </sheetView>
  </sheetViews>
  <sheetFormatPr defaultRowHeight="15" x14ac:dyDescent="0.25"/>
  <cols>
    <col min="1" max="1" width="4.7109375" customWidth="1"/>
    <col min="2" max="2" width="49.140625" bestFit="1" customWidth="1"/>
    <col min="4" max="4" width="11.5703125" bestFit="1" customWidth="1"/>
    <col min="5" max="5" width="3.5703125" customWidth="1"/>
    <col min="6" max="6" width="10.140625" customWidth="1"/>
    <col min="7" max="9" width="10.85546875" customWidth="1"/>
  </cols>
  <sheetData>
    <row r="1" spans="1:7" x14ac:dyDescent="0.25">
      <c r="B1" s="1" t="s">
        <v>43</v>
      </c>
      <c r="D1" s="2"/>
      <c r="E1" s="2"/>
      <c r="F1" s="2"/>
      <c r="G1" s="2"/>
    </row>
    <row r="2" spans="1:7" x14ac:dyDescent="0.25">
      <c r="B2" s="1"/>
      <c r="D2" s="2"/>
      <c r="E2" s="2"/>
      <c r="F2" s="2"/>
      <c r="G2" s="2"/>
    </row>
    <row r="3" spans="1:7" x14ac:dyDescent="0.25">
      <c r="B3" s="1" t="s">
        <v>41</v>
      </c>
      <c r="D3" s="2"/>
      <c r="E3" s="2"/>
      <c r="F3" s="2"/>
      <c r="G3" s="2"/>
    </row>
    <row r="4" spans="1:7" x14ac:dyDescent="0.25">
      <c r="B4" s="18" t="s">
        <v>42</v>
      </c>
      <c r="D4" s="2"/>
      <c r="E4" s="2"/>
      <c r="F4" s="2"/>
      <c r="G4" s="2"/>
    </row>
    <row r="5" spans="1:7" x14ac:dyDescent="0.25">
      <c r="B5" s="1"/>
      <c r="D5" s="2"/>
      <c r="E5" s="2"/>
      <c r="F5" s="2"/>
      <c r="G5" s="2"/>
    </row>
    <row r="6" spans="1:7" x14ac:dyDescent="0.25">
      <c r="C6" s="1" t="s">
        <v>0</v>
      </c>
    </row>
    <row r="7" spans="1:7" x14ac:dyDescent="0.25">
      <c r="A7">
        <v>1</v>
      </c>
      <c r="B7" t="s">
        <v>1</v>
      </c>
      <c r="C7" t="s">
        <v>48</v>
      </c>
      <c r="D7" s="3">
        <v>300</v>
      </c>
    </row>
    <row r="8" spans="1:7" x14ac:dyDescent="0.25">
      <c r="A8">
        <f>+A7+1</f>
        <v>2</v>
      </c>
      <c r="B8" t="s">
        <v>44</v>
      </c>
      <c r="C8" t="s">
        <v>48</v>
      </c>
      <c r="D8" s="3">
        <v>20</v>
      </c>
    </row>
    <row r="9" spans="1:7" x14ac:dyDescent="0.25">
      <c r="A9">
        <f t="shared" ref="A9:A82" si="0">+A8+1</f>
        <v>3</v>
      </c>
      <c r="B9" t="s">
        <v>2</v>
      </c>
      <c r="C9" t="s">
        <v>3</v>
      </c>
      <c r="D9" s="3">
        <v>2.5</v>
      </c>
    </row>
    <row r="10" spans="1:7" x14ac:dyDescent="0.25">
      <c r="A10">
        <f t="shared" si="0"/>
        <v>4</v>
      </c>
      <c r="B10" t="s">
        <v>4</v>
      </c>
      <c r="C10" t="s">
        <v>49</v>
      </c>
      <c r="D10" s="4">
        <f>+D9*1000/(D7+D8)</f>
        <v>7.8125</v>
      </c>
    </row>
    <row r="11" spans="1:7" x14ac:dyDescent="0.25">
      <c r="A11">
        <f t="shared" si="0"/>
        <v>5</v>
      </c>
    </row>
    <row r="12" spans="1:7" x14ac:dyDescent="0.25">
      <c r="A12">
        <f t="shared" si="0"/>
        <v>6</v>
      </c>
      <c r="B12" t="s">
        <v>72</v>
      </c>
      <c r="C12" t="s">
        <v>48</v>
      </c>
      <c r="D12" s="37">
        <v>111392</v>
      </c>
    </row>
    <row r="13" spans="1:7" x14ac:dyDescent="0.25">
      <c r="A13">
        <f t="shared" si="0"/>
        <v>7</v>
      </c>
      <c r="B13" t="s">
        <v>73</v>
      </c>
      <c r="C13" t="s">
        <v>48</v>
      </c>
      <c r="D13" s="37">
        <v>14091</v>
      </c>
    </row>
    <row r="14" spans="1:7" x14ac:dyDescent="0.25">
      <c r="A14">
        <f t="shared" si="0"/>
        <v>8</v>
      </c>
    </row>
    <row r="15" spans="1:7" x14ac:dyDescent="0.25">
      <c r="A15">
        <f t="shared" si="0"/>
        <v>9</v>
      </c>
      <c r="B15" t="s">
        <v>5</v>
      </c>
      <c r="C15" t="s">
        <v>6</v>
      </c>
      <c r="D15" s="36">
        <v>108</v>
      </c>
    </row>
    <row r="16" spans="1:7" x14ac:dyDescent="0.25">
      <c r="A16">
        <f t="shared" si="0"/>
        <v>10</v>
      </c>
      <c r="B16" t="s">
        <v>7</v>
      </c>
      <c r="C16" t="s">
        <v>6</v>
      </c>
      <c r="D16" s="35">
        <v>420</v>
      </c>
    </row>
    <row r="17" spans="1:7" x14ac:dyDescent="0.25">
      <c r="A17">
        <f t="shared" si="0"/>
        <v>11</v>
      </c>
    </row>
    <row r="18" spans="1:7" x14ac:dyDescent="0.25">
      <c r="A18">
        <f t="shared" si="0"/>
        <v>12</v>
      </c>
      <c r="B18" s="1" t="s">
        <v>45</v>
      </c>
    </row>
    <row r="19" spans="1:7" x14ac:dyDescent="0.25">
      <c r="A19">
        <f t="shared" si="0"/>
        <v>13</v>
      </c>
      <c r="B19" t="s">
        <v>46</v>
      </c>
      <c r="C19" t="s">
        <v>8</v>
      </c>
      <c r="D19" s="35">
        <v>16.32</v>
      </c>
    </row>
    <row r="20" spans="1:7" x14ac:dyDescent="0.25">
      <c r="A20">
        <f t="shared" si="0"/>
        <v>14</v>
      </c>
      <c r="B20" t="s">
        <v>47</v>
      </c>
      <c r="C20" t="s">
        <v>8</v>
      </c>
      <c r="D20" s="38">
        <v>16.3</v>
      </c>
    </row>
    <row r="21" spans="1:7" x14ac:dyDescent="0.25">
      <c r="A21">
        <f t="shared" si="0"/>
        <v>15</v>
      </c>
    </row>
    <row r="22" spans="1:7" x14ac:dyDescent="0.25">
      <c r="A22">
        <f t="shared" si="0"/>
        <v>16</v>
      </c>
      <c r="B22" t="s">
        <v>9</v>
      </c>
      <c r="C22" t="s">
        <v>10</v>
      </c>
      <c r="D22" s="39">
        <v>0.85360000000000003</v>
      </c>
    </row>
    <row r="23" spans="1:7" x14ac:dyDescent="0.25">
      <c r="A23">
        <f t="shared" si="0"/>
        <v>17</v>
      </c>
      <c r="B23" t="s">
        <v>76</v>
      </c>
      <c r="C23" t="s">
        <v>10</v>
      </c>
      <c r="D23" s="39">
        <v>0.85019999999999996</v>
      </c>
    </row>
    <row r="24" spans="1:7" x14ac:dyDescent="0.25">
      <c r="A24">
        <f t="shared" si="0"/>
        <v>18</v>
      </c>
      <c r="D24" s="5"/>
    </row>
    <row r="25" spans="1:7" x14ac:dyDescent="0.25">
      <c r="A25">
        <f t="shared" si="0"/>
        <v>19</v>
      </c>
      <c r="D25" s="27" t="s">
        <v>53</v>
      </c>
      <c r="E25" s="28"/>
      <c r="F25" s="28" t="s">
        <v>54</v>
      </c>
      <c r="G25" s="28" t="s">
        <v>70</v>
      </c>
    </row>
    <row r="26" spans="1:7" x14ac:dyDescent="0.25">
      <c r="A26">
        <f t="shared" si="0"/>
        <v>20</v>
      </c>
      <c r="B26" t="s">
        <v>50</v>
      </c>
      <c r="C26" t="s">
        <v>8</v>
      </c>
      <c r="D26" s="4">
        <f>D19+(D22*D15)</f>
        <v>108.50880000000001</v>
      </c>
      <c r="F26" s="4">
        <f>+H83*D15</f>
        <v>59.98923893969679</v>
      </c>
      <c r="G26" s="29">
        <f>(F26-D26)/D26</f>
        <v>-0.44714862813249445</v>
      </c>
    </row>
    <row r="27" spans="1:7" x14ac:dyDescent="0.25">
      <c r="A27">
        <f t="shared" si="0"/>
        <v>21</v>
      </c>
      <c r="B27" t="s">
        <v>51</v>
      </c>
      <c r="C27" t="s">
        <v>8</v>
      </c>
      <c r="D27" s="4">
        <f>D20+(D23*D16)</f>
        <v>373.38400000000001</v>
      </c>
      <c r="F27" s="4">
        <f>+H83*D16</f>
        <v>233.2914847654875</v>
      </c>
      <c r="G27" s="29">
        <f t="shared" ref="G27:G28" si="1">(F27-D27)/D27</f>
        <v>-0.37519688908606824</v>
      </c>
    </row>
    <row r="28" spans="1:7" x14ac:dyDescent="0.25">
      <c r="A28">
        <f t="shared" si="0"/>
        <v>22</v>
      </c>
      <c r="B28" t="s">
        <v>52</v>
      </c>
      <c r="C28" t="s">
        <v>8</v>
      </c>
      <c r="D28" s="4">
        <f>(D26*D7+D27*D8)/(D7+D8)</f>
        <v>125.06350000000002</v>
      </c>
      <c r="F28" s="4">
        <f>(F26*D7+F27*D8)/(D7+D8)</f>
        <v>70.820629303808715</v>
      </c>
      <c r="G28" s="29">
        <f t="shared" si="1"/>
        <v>-0.433722634471219</v>
      </c>
    </row>
    <row r="29" spans="1:7" x14ac:dyDescent="0.25">
      <c r="A29">
        <f t="shared" si="0"/>
        <v>23</v>
      </c>
      <c r="D29" s="5"/>
    </row>
    <row r="30" spans="1:7" x14ac:dyDescent="0.25">
      <c r="A30">
        <f t="shared" si="0"/>
        <v>24</v>
      </c>
      <c r="B30" s="1" t="s">
        <v>55</v>
      </c>
      <c r="D30" s="5"/>
    </row>
    <row r="31" spans="1:7" x14ac:dyDescent="0.25">
      <c r="A31">
        <f t="shared" si="0"/>
        <v>25</v>
      </c>
      <c r="B31" t="s">
        <v>56</v>
      </c>
      <c r="C31" t="s">
        <v>11</v>
      </c>
      <c r="D31" s="31">
        <f>4278-D32</f>
        <v>2646.2</v>
      </c>
      <c r="E31" s="6"/>
      <c r="F31" s="29">
        <f>1-F32</f>
        <v>0.61856007480130903</v>
      </c>
    </row>
    <row r="32" spans="1:7" x14ac:dyDescent="0.25">
      <c r="A32">
        <f t="shared" si="0"/>
        <v>26</v>
      </c>
      <c r="B32" t="s">
        <v>57</v>
      </c>
      <c r="C32" t="s">
        <v>11</v>
      </c>
      <c r="D32" s="99">
        <v>1631.8</v>
      </c>
      <c r="E32" s="6"/>
      <c r="F32" s="13">
        <f>D32/(D31+D32)</f>
        <v>0.38143992519869097</v>
      </c>
    </row>
    <row r="33" spans="1:5" x14ac:dyDescent="0.25">
      <c r="A33">
        <f t="shared" si="0"/>
        <v>27</v>
      </c>
      <c r="B33" t="s">
        <v>12</v>
      </c>
      <c r="C33" t="s">
        <v>3</v>
      </c>
      <c r="D33" s="30">
        <f>2858400/1000</f>
        <v>2858.4</v>
      </c>
      <c r="E33" s="6"/>
    </row>
    <row r="34" spans="1:5" x14ac:dyDescent="0.25">
      <c r="A34">
        <f t="shared" si="0"/>
        <v>28</v>
      </c>
      <c r="B34" t="s">
        <v>13</v>
      </c>
      <c r="C34" t="s">
        <v>14</v>
      </c>
      <c r="D34" s="33">
        <f>+(D31+D32)/(D33)</f>
        <v>1.4966414777497901</v>
      </c>
      <c r="E34" s="6"/>
    </row>
    <row r="35" spans="1:5" x14ac:dyDescent="0.25">
      <c r="A35">
        <f t="shared" si="0"/>
        <v>29</v>
      </c>
    </row>
    <row r="36" spans="1:5" x14ac:dyDescent="0.25">
      <c r="A36">
        <f t="shared" si="0"/>
        <v>30</v>
      </c>
      <c r="B36" s="1" t="s">
        <v>58</v>
      </c>
      <c r="D36" s="7"/>
      <c r="E36" s="6"/>
    </row>
    <row r="37" spans="1:5" x14ac:dyDescent="0.25">
      <c r="A37">
        <f t="shared" si="0"/>
        <v>31</v>
      </c>
      <c r="B37" t="s">
        <v>59</v>
      </c>
      <c r="C37" t="s">
        <v>11</v>
      </c>
      <c r="D37" s="31">
        <f>3901*F31</f>
        <v>2413.0028517999067</v>
      </c>
      <c r="E37" s="6"/>
    </row>
    <row r="38" spans="1:5" x14ac:dyDescent="0.25">
      <c r="A38">
        <f t="shared" si="0"/>
        <v>32</v>
      </c>
      <c r="B38" t="s">
        <v>75</v>
      </c>
      <c r="C38" t="s">
        <v>11</v>
      </c>
      <c r="D38" s="32">
        <f>3901*F32</f>
        <v>1487.9971482000935</v>
      </c>
      <c r="E38" s="6"/>
    </row>
    <row r="39" spans="1:5" x14ac:dyDescent="0.25">
      <c r="A39">
        <f t="shared" si="0"/>
        <v>33</v>
      </c>
      <c r="B39" t="s">
        <v>60</v>
      </c>
      <c r="C39" t="s">
        <v>48</v>
      </c>
      <c r="D39" s="32">
        <f>+D12+D13</f>
        <v>125483</v>
      </c>
      <c r="E39" s="6"/>
    </row>
    <row r="40" spans="1:5" x14ac:dyDescent="0.25">
      <c r="A40">
        <f t="shared" si="0"/>
        <v>34</v>
      </c>
      <c r="B40" t="s">
        <v>61</v>
      </c>
      <c r="C40" s="34" t="s">
        <v>8</v>
      </c>
      <c r="D40" s="40">
        <f>+(D37+D38)*1000/D39</f>
        <v>31.087876445414917</v>
      </c>
      <c r="E40" s="6"/>
    </row>
    <row r="41" spans="1:5" x14ac:dyDescent="0.25">
      <c r="A41">
        <f t="shared" si="0"/>
        <v>35</v>
      </c>
    </row>
    <row r="42" spans="1:5" x14ac:dyDescent="0.25">
      <c r="A42">
        <f t="shared" si="0"/>
        <v>36</v>
      </c>
      <c r="B42" s="1" t="s">
        <v>15</v>
      </c>
    </row>
    <row r="43" spans="1:5" x14ac:dyDescent="0.25">
      <c r="A43">
        <f t="shared" si="0"/>
        <v>37</v>
      </c>
      <c r="B43" t="s">
        <v>16</v>
      </c>
      <c r="C43" t="s">
        <v>48</v>
      </c>
      <c r="D43" s="8">
        <f>+D7+D8</f>
        <v>320</v>
      </c>
    </row>
    <row r="44" spans="1:5" x14ac:dyDescent="0.25">
      <c r="A44">
        <f t="shared" si="0"/>
        <v>38</v>
      </c>
      <c r="B44" t="s">
        <v>17</v>
      </c>
      <c r="C44" t="s">
        <v>8</v>
      </c>
      <c r="D44" s="8">
        <f>250*C66</f>
        <v>285.97616865261227</v>
      </c>
      <c r="E44" s="9"/>
    </row>
    <row r="45" spans="1:5" x14ac:dyDescent="0.25">
      <c r="A45">
        <f t="shared" si="0"/>
        <v>39</v>
      </c>
      <c r="B45" t="s">
        <v>18</v>
      </c>
      <c r="D45" s="19">
        <v>3.1099999999999999E-2</v>
      </c>
      <c r="E45" s="10"/>
    </row>
    <row r="46" spans="1:5" x14ac:dyDescent="0.25">
      <c r="A46">
        <f t="shared" si="0"/>
        <v>40</v>
      </c>
      <c r="B46" t="s">
        <v>19</v>
      </c>
      <c r="C46" t="s">
        <v>8</v>
      </c>
      <c r="D46" s="11">
        <f>+D44*D45</f>
        <v>8.8938588450962417</v>
      </c>
      <c r="E46" s="10"/>
    </row>
    <row r="47" spans="1:5" ht="15.75" thickBot="1" x14ac:dyDescent="0.3">
      <c r="A47">
        <f t="shared" si="0"/>
        <v>41</v>
      </c>
      <c r="D47" s="5"/>
    </row>
    <row r="48" spans="1:5" ht="15.75" thickBot="1" x14ac:dyDescent="0.3">
      <c r="A48">
        <f t="shared" si="0"/>
        <v>42</v>
      </c>
      <c r="B48" s="1" t="s">
        <v>20</v>
      </c>
      <c r="C48" s="1" t="s">
        <v>8</v>
      </c>
      <c r="D48" s="26">
        <f>+(D9*1000*(D34))+(D43*D44*D45)+(D40*(D7+D8))</f>
        <v>16535.758987338046</v>
      </c>
    </row>
    <row r="49" spans="1:6" x14ac:dyDescent="0.25">
      <c r="A49">
        <f t="shared" si="0"/>
        <v>43</v>
      </c>
      <c r="D49" s="5"/>
    </row>
    <row r="50" spans="1:6" x14ac:dyDescent="0.25">
      <c r="A50">
        <f t="shared" si="0"/>
        <v>44</v>
      </c>
      <c r="D50" s="27" t="s">
        <v>21</v>
      </c>
      <c r="E50" s="28"/>
      <c r="F50" s="28" t="s">
        <v>22</v>
      </c>
    </row>
    <row r="51" spans="1:6" x14ac:dyDescent="0.25">
      <c r="A51">
        <f t="shared" si="0"/>
        <v>45</v>
      </c>
      <c r="D51" s="27" t="s">
        <v>8</v>
      </c>
      <c r="E51" s="28"/>
      <c r="F51" s="28" t="s">
        <v>10</v>
      </c>
    </row>
    <row r="52" spans="1:6" ht="15.75" thickBot="1" x14ac:dyDescent="0.3">
      <c r="A52">
        <f t="shared" si="0"/>
        <v>46</v>
      </c>
      <c r="D52" s="5"/>
    </row>
    <row r="53" spans="1:6" ht="15.75" thickBot="1" x14ac:dyDescent="0.3">
      <c r="A53">
        <f t="shared" si="0"/>
        <v>47</v>
      </c>
      <c r="B53" s="1" t="s">
        <v>23</v>
      </c>
      <c r="C53" t="s">
        <v>8</v>
      </c>
      <c r="D53" s="26">
        <f>+((D7*D19)+(D8*D20)+(D7*D15*D22)+(D8*D16*D23))</f>
        <v>40020.32</v>
      </c>
      <c r="F53" s="12">
        <f>+D53/((D7*D15)+(D8*D16))</f>
        <v>0.98089019607843142</v>
      </c>
    </row>
    <row r="54" spans="1:6" ht="15.75" thickBot="1" x14ac:dyDescent="0.3">
      <c r="A54">
        <f t="shared" si="0"/>
        <v>48</v>
      </c>
      <c r="D54" s="5"/>
    </row>
    <row r="55" spans="1:6" ht="15.75" thickBot="1" x14ac:dyDescent="0.3">
      <c r="A55">
        <f t="shared" si="0"/>
        <v>49</v>
      </c>
      <c r="B55" s="1" t="s">
        <v>62</v>
      </c>
      <c r="D55" s="26">
        <f>+D48</f>
        <v>16535.758987338046</v>
      </c>
    </row>
    <row r="56" spans="1:6" ht="15.75" thickBot="1" x14ac:dyDescent="0.3">
      <c r="A56">
        <f t="shared" si="0"/>
        <v>50</v>
      </c>
    </row>
    <row r="57" spans="1:6" ht="15.75" thickBot="1" x14ac:dyDescent="0.3">
      <c r="A57">
        <f t="shared" si="0"/>
        <v>51</v>
      </c>
      <c r="B57" s="1" t="s">
        <v>24</v>
      </c>
      <c r="D57" s="26">
        <f>+D53-D55</f>
        <v>23484.561012661954</v>
      </c>
      <c r="F57" s="12">
        <f>+D57/((D7*D15)+(D8*D16))</f>
        <v>0.57560198560445963</v>
      </c>
    </row>
    <row r="58" spans="1:6" ht="15.75" thickBot="1" x14ac:dyDescent="0.3">
      <c r="A58">
        <f t="shared" si="0"/>
        <v>52</v>
      </c>
    </row>
    <row r="59" spans="1:6" ht="15.75" thickBot="1" x14ac:dyDescent="0.3">
      <c r="A59">
        <f t="shared" si="0"/>
        <v>53</v>
      </c>
      <c r="B59" s="1" t="s">
        <v>63</v>
      </c>
      <c r="F59" s="41">
        <f>-F57*0.035+F57</f>
        <v>0.55545591610830358</v>
      </c>
    </row>
    <row r="60" spans="1:6" x14ac:dyDescent="0.25">
      <c r="A60">
        <f t="shared" si="0"/>
        <v>54</v>
      </c>
    </row>
    <row r="61" spans="1:6" x14ac:dyDescent="0.25">
      <c r="A61">
        <f t="shared" si="0"/>
        <v>55</v>
      </c>
      <c r="B61" s="1" t="s">
        <v>25</v>
      </c>
      <c r="D61" s="13"/>
      <c r="F61" s="42">
        <f>+(F59/F53)-1</f>
        <v>-0.43372263447121895</v>
      </c>
    </row>
    <row r="62" spans="1:6" x14ac:dyDescent="0.25">
      <c r="A62">
        <f t="shared" si="0"/>
        <v>56</v>
      </c>
    </row>
    <row r="63" spans="1:6" x14ac:dyDescent="0.25">
      <c r="A63">
        <f t="shared" si="0"/>
        <v>57</v>
      </c>
      <c r="B63" s="14" t="s">
        <v>26</v>
      </c>
    </row>
    <row r="64" spans="1:6" x14ac:dyDescent="0.25">
      <c r="A64">
        <f t="shared" si="0"/>
        <v>58</v>
      </c>
      <c r="B64" s="15" t="s">
        <v>64</v>
      </c>
      <c r="C64">
        <v>124.8</v>
      </c>
    </row>
    <row r="65" spans="1:10" x14ac:dyDescent="0.25">
      <c r="A65">
        <f t="shared" si="0"/>
        <v>59</v>
      </c>
      <c r="B65" s="15" t="s">
        <v>65</v>
      </c>
      <c r="C65">
        <v>109.1</v>
      </c>
    </row>
    <row r="66" spans="1:10" x14ac:dyDescent="0.25">
      <c r="A66">
        <f t="shared" si="0"/>
        <v>60</v>
      </c>
      <c r="B66" t="s">
        <v>27</v>
      </c>
      <c r="C66" s="5">
        <f>+C64/C65</f>
        <v>1.1439046746104491</v>
      </c>
    </row>
    <row r="67" spans="1:10" x14ac:dyDescent="0.25">
      <c r="A67">
        <f t="shared" si="0"/>
        <v>61</v>
      </c>
      <c r="B67" s="16" t="s">
        <v>28</v>
      </c>
      <c r="C67" s="17">
        <f>+C66-1</f>
        <v>0.14390467461044909</v>
      </c>
    </row>
    <row r="68" spans="1:10" x14ac:dyDescent="0.25">
      <c r="A68">
        <f t="shared" si="0"/>
        <v>62</v>
      </c>
    </row>
    <row r="69" spans="1:10" ht="15.75" thickBot="1" x14ac:dyDescent="0.3">
      <c r="A69">
        <f t="shared" si="0"/>
        <v>63</v>
      </c>
      <c r="B69" s="1" t="s">
        <v>66</v>
      </c>
      <c r="F69" s="28" t="s">
        <v>53</v>
      </c>
      <c r="G69" s="28" t="s">
        <v>67</v>
      </c>
      <c r="H69" s="43" t="s">
        <v>54</v>
      </c>
    </row>
    <row r="70" spans="1:10" x14ac:dyDescent="0.25">
      <c r="A70">
        <f t="shared" si="0"/>
        <v>64</v>
      </c>
      <c r="B70" t="s">
        <v>29</v>
      </c>
      <c r="C70" t="s">
        <v>8</v>
      </c>
      <c r="F70" s="44">
        <f>+(D7*D19)+(D8*D20)</f>
        <v>5222</v>
      </c>
      <c r="G70" s="44">
        <f>-D32/D33*D9*1000-D38/D39*(D7+D8)*1000</f>
        <v>-5221.8073584014137</v>
      </c>
      <c r="H70" s="44">
        <f>+F70+G70</f>
        <v>0.19264159858630592</v>
      </c>
    </row>
    <row r="71" spans="1:10" x14ac:dyDescent="0.25">
      <c r="A71">
        <f t="shared" si="0"/>
        <v>65</v>
      </c>
      <c r="B71" t="s">
        <v>30</v>
      </c>
      <c r="C71" t="s">
        <v>8</v>
      </c>
      <c r="F71" s="45">
        <f>+(D7*D15*D22)+(D8*D16*D23)</f>
        <v>34798.32</v>
      </c>
      <c r="G71" s="45">
        <f>-G72-G70</f>
        <v>-11313.951628936633</v>
      </c>
      <c r="H71" s="45">
        <f>+F71+G71</f>
        <v>23484.368371063367</v>
      </c>
    </row>
    <row r="72" spans="1:10" x14ac:dyDescent="0.25">
      <c r="A72">
        <f t="shared" si="0"/>
        <v>66</v>
      </c>
      <c r="B72" t="s">
        <v>31</v>
      </c>
      <c r="C72" t="s">
        <v>8</v>
      </c>
      <c r="F72" s="45"/>
      <c r="G72" s="45">
        <f>+D55</f>
        <v>16535.758987338046</v>
      </c>
      <c r="H72" s="45"/>
    </row>
    <row r="73" spans="1:10" ht="15.75" thickBot="1" x14ac:dyDescent="0.3">
      <c r="A73">
        <f t="shared" si="0"/>
        <v>67</v>
      </c>
      <c r="B73" t="s">
        <v>24</v>
      </c>
      <c r="C73" t="s">
        <v>8</v>
      </c>
      <c r="F73" s="46"/>
      <c r="G73" s="46"/>
      <c r="H73" s="46">
        <f>+H70+H71+H72</f>
        <v>23484.561012661954</v>
      </c>
    </row>
    <row r="74" spans="1:10" x14ac:dyDescent="0.25">
      <c r="A74">
        <f t="shared" si="0"/>
        <v>68</v>
      </c>
    </row>
    <row r="75" spans="1:10" ht="15.75" thickBot="1" x14ac:dyDescent="0.3">
      <c r="A75">
        <f t="shared" si="0"/>
        <v>69</v>
      </c>
      <c r="B75" s="1" t="s">
        <v>68</v>
      </c>
    </row>
    <row r="76" spans="1:10" x14ac:dyDescent="0.25">
      <c r="A76">
        <f t="shared" si="0"/>
        <v>70</v>
      </c>
      <c r="B76" t="s">
        <v>32</v>
      </c>
      <c r="C76" t="s">
        <v>10</v>
      </c>
      <c r="F76" s="51">
        <f>+D22</f>
        <v>0.85360000000000003</v>
      </c>
      <c r="H76" s="47">
        <f>+H71/(D15*D7+D16*D8)</f>
        <v>0.57559726399665112</v>
      </c>
    </row>
    <row r="77" spans="1:10" ht="15.75" thickBot="1" x14ac:dyDescent="0.3">
      <c r="A77">
        <f t="shared" si="0"/>
        <v>71</v>
      </c>
      <c r="B77" t="s">
        <v>33</v>
      </c>
      <c r="C77" t="s">
        <v>8</v>
      </c>
      <c r="F77" s="25">
        <f>+F70/(D7+D8)</f>
        <v>16.318750000000001</v>
      </c>
      <c r="H77" s="48">
        <f>H70/(D7+D8)</f>
        <v>6.0200499558220604E-4</v>
      </c>
    </row>
    <row r="78" spans="1:10" ht="15.75" thickBot="1" x14ac:dyDescent="0.3">
      <c r="A78">
        <f t="shared" si="0"/>
        <v>72</v>
      </c>
    </row>
    <row r="79" spans="1:10" x14ac:dyDescent="0.25">
      <c r="A79">
        <f t="shared" si="0"/>
        <v>73</v>
      </c>
      <c r="B79" t="s">
        <v>34</v>
      </c>
      <c r="C79" t="s">
        <v>6</v>
      </c>
      <c r="F79" s="21">
        <f>+F71</f>
        <v>34798.32</v>
      </c>
      <c r="H79" s="21">
        <f>+H71</f>
        <v>23484.368371063367</v>
      </c>
      <c r="J79" s="22"/>
    </row>
    <row r="80" spans="1:10" x14ac:dyDescent="0.25">
      <c r="A80">
        <f t="shared" si="0"/>
        <v>74</v>
      </c>
      <c r="B80" t="s">
        <v>29</v>
      </c>
      <c r="C80" t="s">
        <v>8</v>
      </c>
      <c r="F80" s="23">
        <f>+F70</f>
        <v>5222</v>
      </c>
      <c r="H80" s="20">
        <f>+H70</f>
        <v>0.19264159858630592</v>
      </c>
    </row>
    <row r="81" spans="1:8" x14ac:dyDescent="0.25">
      <c r="A81">
        <f t="shared" si="0"/>
        <v>75</v>
      </c>
      <c r="B81" t="s">
        <v>24</v>
      </c>
      <c r="F81" s="23">
        <f>+F79+F80</f>
        <v>40020.32</v>
      </c>
      <c r="H81" s="23">
        <f>+H79+H80</f>
        <v>23484.561012661954</v>
      </c>
    </row>
    <row r="82" spans="1:8" ht="15.75" thickBot="1" x14ac:dyDescent="0.3">
      <c r="A82">
        <f t="shared" si="0"/>
        <v>76</v>
      </c>
      <c r="B82" t="s">
        <v>35</v>
      </c>
      <c r="F82" s="24">
        <f>+F81/((D7*D15)+(D8*D16))</f>
        <v>0.98089019607843142</v>
      </c>
      <c r="H82" s="49">
        <f>+H81/((D7*D15)+(D8*D16))</f>
        <v>0.57560198560445963</v>
      </c>
    </row>
    <row r="83" spans="1:8" ht="15.75" thickBot="1" x14ac:dyDescent="0.3">
      <c r="A83">
        <f t="shared" ref="A83:A85" si="2">+A82+1</f>
        <v>77</v>
      </c>
      <c r="B83" s="1" t="s">
        <v>71</v>
      </c>
      <c r="H83" s="50">
        <f>-H82*0.035+H82</f>
        <v>0.55545591610830358</v>
      </c>
    </row>
    <row r="84" spans="1:8" x14ac:dyDescent="0.25">
      <c r="A84">
        <f t="shared" si="2"/>
        <v>78</v>
      </c>
    </row>
    <row r="85" spans="1:8" x14ac:dyDescent="0.25">
      <c r="A85">
        <f t="shared" si="2"/>
        <v>79</v>
      </c>
      <c r="B85" t="s">
        <v>69</v>
      </c>
      <c r="C85" t="s">
        <v>8</v>
      </c>
      <c r="D85" s="5">
        <f>+F85-H85</f>
        <v>1.1103786588327993E-3</v>
      </c>
      <c r="F85" s="5">
        <f>+F82/365</f>
        <v>2.6873704002148805E-3</v>
      </c>
      <c r="H85" s="5">
        <f>+H82/365</f>
        <v>1.5769917413820812E-3</v>
      </c>
    </row>
    <row r="87" spans="1:8" x14ac:dyDescent="0.25">
      <c r="B87" s="34" t="s">
        <v>74</v>
      </c>
    </row>
  </sheetData>
  <hyperlinks>
    <hyperlink ref="B4" r:id="rId1" xr:uid="{E22EED07-AF83-4AB4-9D26-D3EEAF4352A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2:W90"/>
  <sheetViews>
    <sheetView workbookViewId="0">
      <selection activeCell="G83" sqref="G83"/>
    </sheetView>
  </sheetViews>
  <sheetFormatPr defaultRowHeight="12.75" x14ac:dyDescent="0.2"/>
  <cols>
    <col min="1" max="1" width="3.28515625" style="34" bestFit="1" customWidth="1"/>
    <col min="2" max="2" width="44" style="34" bestFit="1" customWidth="1"/>
    <col min="3" max="3" width="7.5703125" style="34" customWidth="1"/>
    <col min="4" max="4" width="11" style="34" customWidth="1"/>
    <col min="5" max="5" width="2.28515625" style="34" customWidth="1"/>
    <col min="6" max="6" width="10" style="34" customWidth="1"/>
    <col min="7" max="7" width="1.7109375" style="34" customWidth="1"/>
    <col min="8" max="8" width="9.28515625" style="34" bestFit="1" customWidth="1"/>
    <col min="9" max="9" width="1.7109375" style="34" customWidth="1"/>
    <col min="10" max="10" width="10" style="34" customWidth="1"/>
    <col min="11" max="11" width="1.7109375" style="34" customWidth="1"/>
    <col min="12" max="12" width="9.28515625" style="34" bestFit="1" customWidth="1"/>
    <col min="13" max="13" width="1.7109375" style="34" customWidth="1"/>
    <col min="14" max="14" width="10" style="34" customWidth="1"/>
    <col min="15" max="15" width="1.7109375" style="34" customWidth="1"/>
    <col min="16" max="16" width="9.28515625" style="34" bestFit="1" customWidth="1"/>
    <col min="17" max="17" width="1.7109375" style="34" customWidth="1"/>
    <col min="18" max="18" width="10" style="34" customWidth="1"/>
    <col min="19" max="19" width="1.7109375" style="34" customWidth="1"/>
    <col min="20" max="20" width="9.28515625" style="34" bestFit="1" customWidth="1"/>
    <col min="21" max="16384" width="9.140625" style="34"/>
  </cols>
  <sheetData>
    <row r="2" spans="1:19" x14ac:dyDescent="0.2">
      <c r="B2" s="100" t="s">
        <v>36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x14ac:dyDescent="0.2">
      <c r="B3" s="100" t="s">
        <v>77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5" spans="1:19" x14ac:dyDescent="0.2">
      <c r="F5" s="52" t="s">
        <v>37</v>
      </c>
      <c r="G5" s="52"/>
      <c r="H5" s="52"/>
      <c r="I5" s="52"/>
      <c r="J5" s="52" t="s">
        <v>38</v>
      </c>
      <c r="K5" s="52"/>
      <c r="L5" s="52"/>
      <c r="M5" s="52"/>
      <c r="N5" s="52" t="s">
        <v>39</v>
      </c>
      <c r="O5" s="52"/>
      <c r="P5" s="52"/>
      <c r="Q5" s="52"/>
      <c r="R5" s="52" t="s">
        <v>40</v>
      </c>
    </row>
    <row r="6" spans="1:19" x14ac:dyDescent="0.2">
      <c r="C6" s="53" t="s">
        <v>0</v>
      </c>
      <c r="D6" s="53"/>
      <c r="E6" s="53"/>
    </row>
    <row r="7" spans="1:19" x14ac:dyDescent="0.2">
      <c r="A7" s="34">
        <v>1</v>
      </c>
      <c r="B7" s="34" t="s">
        <v>1</v>
      </c>
      <c r="C7" s="34" t="s">
        <v>48</v>
      </c>
      <c r="F7" s="54">
        <v>300</v>
      </c>
      <c r="J7" s="54">
        <v>300</v>
      </c>
      <c r="N7" s="54">
        <v>600</v>
      </c>
      <c r="R7" s="54">
        <v>0</v>
      </c>
    </row>
    <row r="8" spans="1:19" x14ac:dyDescent="0.2">
      <c r="A8" s="34">
        <f>+A7+1</f>
        <v>2</v>
      </c>
      <c r="B8" s="34" t="s">
        <v>44</v>
      </c>
      <c r="C8" s="34" t="s">
        <v>48</v>
      </c>
      <c r="F8" s="54">
        <v>20</v>
      </c>
      <c r="J8" s="54">
        <v>0</v>
      </c>
      <c r="N8" s="54">
        <v>0</v>
      </c>
      <c r="R8" s="54">
        <v>50</v>
      </c>
    </row>
    <row r="9" spans="1:19" x14ac:dyDescent="0.2">
      <c r="A9" s="34">
        <f t="shared" ref="A9:A48" si="0">+A8+1</f>
        <v>3</v>
      </c>
      <c r="B9" s="34" t="s">
        <v>2</v>
      </c>
      <c r="C9" s="34" t="s">
        <v>3</v>
      </c>
      <c r="F9" s="54">
        <v>2.5</v>
      </c>
      <c r="J9" s="54">
        <v>2.5</v>
      </c>
      <c r="N9" s="54">
        <v>2.5</v>
      </c>
      <c r="R9" s="54">
        <v>2.5</v>
      </c>
    </row>
    <row r="10" spans="1:19" x14ac:dyDescent="0.2">
      <c r="A10" s="34">
        <f t="shared" si="0"/>
        <v>4</v>
      </c>
      <c r="B10" s="34" t="s">
        <v>4</v>
      </c>
      <c r="C10" s="34" t="s">
        <v>49</v>
      </c>
      <c r="F10" s="55">
        <f>+F9*1000/(F7+F8)</f>
        <v>7.8125</v>
      </c>
      <c r="J10" s="55">
        <f>+J9*1000/(J7+J8)</f>
        <v>8.3333333333333339</v>
      </c>
      <c r="N10" s="55">
        <f>+N9*1000/(N7+N8)</f>
        <v>4.166666666666667</v>
      </c>
      <c r="R10" s="55">
        <f>+R9*1000/(R7+R8)</f>
        <v>50</v>
      </c>
    </row>
    <row r="11" spans="1:19" x14ac:dyDescent="0.2">
      <c r="A11" s="34">
        <f t="shared" si="0"/>
        <v>5</v>
      </c>
    </row>
    <row r="12" spans="1:19" x14ac:dyDescent="0.2">
      <c r="A12" s="34">
        <f t="shared" si="0"/>
        <v>6</v>
      </c>
      <c r="B12" s="34" t="s">
        <v>72</v>
      </c>
      <c r="C12" s="34" t="s">
        <v>48</v>
      </c>
      <c r="F12" s="56">
        <v>111392</v>
      </c>
      <c r="J12" s="56">
        <v>111392</v>
      </c>
      <c r="N12" s="56">
        <v>111392</v>
      </c>
      <c r="R12" s="56">
        <v>111392</v>
      </c>
    </row>
    <row r="13" spans="1:19" x14ac:dyDescent="0.2">
      <c r="A13" s="34">
        <f t="shared" si="0"/>
        <v>7</v>
      </c>
      <c r="B13" s="34" t="s">
        <v>73</v>
      </c>
      <c r="C13" s="34" t="s">
        <v>48</v>
      </c>
      <c r="F13" s="56">
        <v>14091</v>
      </c>
      <c r="J13" s="56">
        <v>14091</v>
      </c>
      <c r="N13" s="56">
        <v>14091</v>
      </c>
      <c r="R13" s="56">
        <v>14091</v>
      </c>
    </row>
    <row r="14" spans="1:19" x14ac:dyDescent="0.2">
      <c r="A14" s="34">
        <f t="shared" si="0"/>
        <v>8</v>
      </c>
    </row>
    <row r="15" spans="1:19" x14ac:dyDescent="0.2">
      <c r="A15" s="34">
        <f t="shared" si="0"/>
        <v>9</v>
      </c>
      <c r="B15" s="34" t="s">
        <v>5</v>
      </c>
      <c r="C15" s="34" t="s">
        <v>6</v>
      </c>
      <c r="F15" s="57">
        <v>108</v>
      </c>
      <c r="J15" s="57">
        <v>108</v>
      </c>
      <c r="N15" s="57">
        <v>108</v>
      </c>
      <c r="R15" s="57">
        <v>108</v>
      </c>
    </row>
    <row r="16" spans="1:19" x14ac:dyDescent="0.2">
      <c r="A16" s="34">
        <f t="shared" si="0"/>
        <v>10</v>
      </c>
      <c r="B16" s="34" t="s">
        <v>7</v>
      </c>
      <c r="C16" s="34" t="s">
        <v>6</v>
      </c>
      <c r="F16" s="58">
        <v>420</v>
      </c>
      <c r="J16" s="58">
        <v>420</v>
      </c>
      <c r="N16" s="58">
        <v>420</v>
      </c>
      <c r="R16" s="58">
        <v>420</v>
      </c>
    </row>
    <row r="17" spans="1:20" x14ac:dyDescent="0.2">
      <c r="A17" s="34">
        <f t="shared" si="0"/>
        <v>11</v>
      </c>
    </row>
    <row r="18" spans="1:20" x14ac:dyDescent="0.2">
      <c r="A18" s="34">
        <f t="shared" si="0"/>
        <v>12</v>
      </c>
      <c r="B18" s="53" t="s">
        <v>45</v>
      </c>
    </row>
    <row r="19" spans="1:20" x14ac:dyDescent="0.2">
      <c r="A19" s="34">
        <f t="shared" si="0"/>
        <v>13</v>
      </c>
      <c r="B19" s="34" t="s">
        <v>46</v>
      </c>
      <c r="C19" s="34" t="s">
        <v>8</v>
      </c>
      <c r="F19" s="58">
        <v>16.32</v>
      </c>
      <c r="J19" s="58">
        <v>16.32</v>
      </c>
      <c r="N19" s="58">
        <v>16.32</v>
      </c>
      <c r="R19" s="58">
        <v>16.32</v>
      </c>
    </row>
    <row r="20" spans="1:20" x14ac:dyDescent="0.2">
      <c r="A20" s="34">
        <f t="shared" si="0"/>
        <v>14</v>
      </c>
      <c r="B20" s="34" t="s">
        <v>47</v>
      </c>
      <c r="C20" s="34" t="s">
        <v>8</v>
      </c>
      <c r="F20" s="59">
        <v>16.3</v>
      </c>
      <c r="J20" s="59">
        <v>16.3</v>
      </c>
      <c r="N20" s="59">
        <v>16.3</v>
      </c>
      <c r="R20" s="59">
        <v>16.3</v>
      </c>
    </row>
    <row r="21" spans="1:20" x14ac:dyDescent="0.2">
      <c r="A21" s="34">
        <f t="shared" si="0"/>
        <v>15</v>
      </c>
    </row>
    <row r="22" spans="1:20" x14ac:dyDescent="0.2">
      <c r="A22" s="34">
        <f t="shared" si="0"/>
        <v>16</v>
      </c>
      <c r="B22" s="34" t="s">
        <v>9</v>
      </c>
      <c r="C22" s="34" t="s">
        <v>10</v>
      </c>
      <c r="F22" s="60">
        <v>0.85360000000000003</v>
      </c>
      <c r="J22" s="60">
        <v>0.85360000000000003</v>
      </c>
      <c r="N22" s="60">
        <v>0.85360000000000003</v>
      </c>
      <c r="R22" s="60">
        <v>0.85360000000000003</v>
      </c>
    </row>
    <row r="23" spans="1:20" x14ac:dyDescent="0.2">
      <c r="A23" s="34">
        <f t="shared" si="0"/>
        <v>17</v>
      </c>
      <c r="B23" s="34" t="s">
        <v>76</v>
      </c>
      <c r="C23" s="34" t="s">
        <v>10</v>
      </c>
      <c r="F23" s="60">
        <v>0.85019999999999996</v>
      </c>
      <c r="G23" s="61"/>
      <c r="J23" s="60">
        <v>0.85019999999999996</v>
      </c>
      <c r="K23" s="61"/>
      <c r="N23" s="60">
        <v>0.85019999999999996</v>
      </c>
      <c r="O23" s="61"/>
      <c r="R23" s="60">
        <v>0.85019999999999996</v>
      </c>
      <c r="S23" s="61"/>
    </row>
    <row r="24" spans="1:20" x14ac:dyDescent="0.2">
      <c r="A24" s="34">
        <f t="shared" si="0"/>
        <v>18</v>
      </c>
    </row>
    <row r="25" spans="1:20" x14ac:dyDescent="0.2">
      <c r="A25" s="34">
        <f t="shared" si="0"/>
        <v>19</v>
      </c>
      <c r="D25" s="62" t="s">
        <v>53</v>
      </c>
      <c r="F25" s="43" t="s">
        <v>54</v>
      </c>
      <c r="G25" s="61"/>
      <c r="H25" s="43" t="s">
        <v>70</v>
      </c>
      <c r="J25" s="43" t="s">
        <v>54</v>
      </c>
      <c r="L25" s="43" t="s">
        <v>70</v>
      </c>
      <c r="N25" s="43" t="s">
        <v>54</v>
      </c>
      <c r="P25" s="43" t="s">
        <v>70</v>
      </c>
      <c r="R25" s="43" t="s">
        <v>54</v>
      </c>
      <c r="T25" s="43" t="s">
        <v>70</v>
      </c>
    </row>
    <row r="26" spans="1:20" x14ac:dyDescent="0.2">
      <c r="A26" s="34">
        <f t="shared" si="0"/>
        <v>20</v>
      </c>
      <c r="B26" s="34" t="s">
        <v>50</v>
      </c>
      <c r="C26" s="34" t="s">
        <v>8</v>
      </c>
      <c r="D26" s="55">
        <v>108.50880000000001</v>
      </c>
      <c r="F26" s="55">
        <v>59.989685765152402</v>
      </c>
      <c r="J26" s="55">
        <f>+J83*J15</f>
        <v>54.094464754701541</v>
      </c>
      <c r="L26" s="63">
        <f>(J26-$D$26)/$D$26</f>
        <v>-0.50147393801515139</v>
      </c>
      <c r="N26" s="55">
        <f>+N83*N15</f>
        <v>60.111541099679123</v>
      </c>
      <c r="P26" s="63">
        <f>(N26-$D$26)/$D$26</f>
        <v>-0.44602151070070706</v>
      </c>
      <c r="R26" s="55"/>
    </row>
    <row r="27" spans="1:20" x14ac:dyDescent="0.2">
      <c r="A27" s="34">
        <f t="shared" si="0"/>
        <v>21</v>
      </c>
      <c r="B27" s="34" t="s">
        <v>51</v>
      </c>
      <c r="C27" s="34" t="s">
        <v>8</v>
      </c>
      <c r="D27" s="55">
        <v>373.38400000000001</v>
      </c>
      <c r="F27" s="55">
        <v>233.29322242003713</v>
      </c>
      <c r="G27" s="61"/>
      <c r="J27" s="55"/>
      <c r="K27" s="61"/>
      <c r="N27" s="55"/>
      <c r="O27" s="61"/>
      <c r="R27" s="55">
        <f>+R16*R83</f>
        <v>249.52826930492563</v>
      </c>
      <c r="S27" s="61"/>
      <c r="T27" s="63">
        <f>(R27-$D$27)/$D$27</f>
        <v>-0.33171140352847039</v>
      </c>
    </row>
    <row r="28" spans="1:20" x14ac:dyDescent="0.2">
      <c r="A28" s="34">
        <f t="shared" si="0"/>
        <v>22</v>
      </c>
      <c r="B28" s="34" t="s">
        <v>52</v>
      </c>
      <c r="C28" s="34" t="s">
        <v>8</v>
      </c>
      <c r="D28" s="55">
        <v>125.06350000000002</v>
      </c>
      <c r="F28" s="55">
        <v>70.821156806082698</v>
      </c>
      <c r="G28" s="61"/>
      <c r="H28" s="63">
        <f>(F28-$D$28)/$D$28</f>
        <v>-0.43371841659570787</v>
      </c>
      <c r="J28" s="55"/>
      <c r="K28" s="61"/>
      <c r="L28" s="63"/>
      <c r="N28" s="55"/>
      <c r="O28" s="61"/>
      <c r="P28" s="63"/>
      <c r="R28" s="55"/>
      <c r="S28" s="61"/>
      <c r="T28" s="63"/>
    </row>
    <row r="29" spans="1:20" x14ac:dyDescent="0.2">
      <c r="A29" s="34">
        <f t="shared" si="0"/>
        <v>23</v>
      </c>
    </row>
    <row r="30" spans="1:20" x14ac:dyDescent="0.2">
      <c r="A30" s="34">
        <f t="shared" si="0"/>
        <v>24</v>
      </c>
      <c r="B30" s="53" t="s">
        <v>55</v>
      </c>
    </row>
    <row r="31" spans="1:20" x14ac:dyDescent="0.2">
      <c r="A31" s="34">
        <f t="shared" si="0"/>
        <v>25</v>
      </c>
      <c r="B31" s="34" t="s">
        <v>56</v>
      </c>
      <c r="C31" s="34" t="s">
        <v>11</v>
      </c>
      <c r="F31" s="64">
        <v>2645.7</v>
      </c>
      <c r="J31" s="64">
        <v>2645.7</v>
      </c>
      <c r="N31" s="64">
        <v>2645.7</v>
      </c>
      <c r="R31" s="64">
        <v>2645.7</v>
      </c>
    </row>
    <row r="32" spans="1:20" x14ac:dyDescent="0.2">
      <c r="A32" s="34">
        <f t="shared" si="0"/>
        <v>26</v>
      </c>
      <c r="B32" s="34" t="s">
        <v>57</v>
      </c>
      <c r="C32" s="34" t="s">
        <v>11</v>
      </c>
      <c r="F32" s="65">
        <v>1631.8</v>
      </c>
      <c r="J32" s="65">
        <v>1631.8</v>
      </c>
      <c r="N32" s="65">
        <v>1631.8</v>
      </c>
      <c r="R32" s="65">
        <v>1631.8</v>
      </c>
    </row>
    <row r="33" spans="1:23" x14ac:dyDescent="0.2">
      <c r="A33" s="34">
        <f t="shared" si="0"/>
        <v>27</v>
      </c>
      <c r="B33" s="34" t="s">
        <v>12</v>
      </c>
      <c r="C33" s="34" t="s">
        <v>3</v>
      </c>
      <c r="F33" s="66">
        <v>2858.4</v>
      </c>
      <c r="J33" s="66">
        <v>2858.4</v>
      </c>
      <c r="N33" s="66">
        <v>2858.4</v>
      </c>
      <c r="R33" s="66">
        <v>2858.4</v>
      </c>
    </row>
    <row r="34" spans="1:23" x14ac:dyDescent="0.2">
      <c r="A34" s="34">
        <f t="shared" si="0"/>
        <v>28</v>
      </c>
      <c r="B34" s="34" t="s">
        <v>13</v>
      </c>
      <c r="C34" s="34" t="s">
        <v>14</v>
      </c>
      <c r="F34" s="67">
        <v>1.4964749459011635</v>
      </c>
      <c r="G34" s="68"/>
      <c r="H34" s="68"/>
      <c r="J34" s="67">
        <v>1.4964749459011635</v>
      </c>
      <c r="K34" s="68"/>
      <c r="L34" s="68"/>
      <c r="N34" s="67">
        <v>1.4964749459011635</v>
      </c>
      <c r="O34" s="68"/>
      <c r="P34" s="68"/>
      <c r="R34" s="67">
        <v>1.4964749459011635</v>
      </c>
      <c r="S34" s="68"/>
      <c r="T34" s="68"/>
    </row>
    <row r="35" spans="1:23" x14ac:dyDescent="0.2">
      <c r="A35" s="34">
        <f t="shared" si="0"/>
        <v>29</v>
      </c>
      <c r="G35" s="69"/>
      <c r="H35" s="70"/>
      <c r="K35" s="69"/>
      <c r="L35" s="70"/>
      <c r="O35" s="69"/>
      <c r="P35" s="70"/>
      <c r="S35" s="69"/>
      <c r="T35" s="70"/>
    </row>
    <row r="36" spans="1:23" x14ac:dyDescent="0.2">
      <c r="A36" s="34">
        <f t="shared" si="0"/>
        <v>30</v>
      </c>
      <c r="B36" s="53" t="s">
        <v>58</v>
      </c>
      <c r="F36" s="71"/>
      <c r="G36" s="69"/>
      <c r="H36" s="70"/>
      <c r="J36" s="71"/>
      <c r="K36" s="69"/>
      <c r="L36" s="70"/>
      <c r="N36" s="71"/>
      <c r="O36" s="69"/>
      <c r="P36" s="70"/>
      <c r="R36" s="71"/>
      <c r="S36" s="69"/>
      <c r="T36" s="70"/>
    </row>
    <row r="37" spans="1:23" x14ac:dyDescent="0.2">
      <c r="A37" s="34">
        <f t="shared" si="0"/>
        <v>31</v>
      </c>
      <c r="B37" s="34" t="s">
        <v>59</v>
      </c>
      <c r="C37" s="34" t="s">
        <v>11</v>
      </c>
      <c r="F37" s="64">
        <v>2412.9332834634624</v>
      </c>
      <c r="J37" s="64">
        <v>2412.9332834634624</v>
      </c>
      <c r="N37" s="64">
        <v>2412.9332834634624</v>
      </c>
      <c r="R37" s="64">
        <v>2412.9332834634624</v>
      </c>
    </row>
    <row r="38" spans="1:23" x14ac:dyDescent="0.2">
      <c r="A38" s="34">
        <f t="shared" si="0"/>
        <v>32</v>
      </c>
      <c r="B38" s="34" t="s">
        <v>75</v>
      </c>
      <c r="C38" s="34" t="s">
        <v>11</v>
      </c>
      <c r="F38" s="65">
        <v>1488.0667165365373</v>
      </c>
      <c r="J38" s="65">
        <v>1488.0667165365373</v>
      </c>
      <c r="N38" s="65">
        <v>1488.0667165365373</v>
      </c>
      <c r="R38" s="65">
        <v>1488.0667165365373</v>
      </c>
    </row>
    <row r="39" spans="1:23" x14ac:dyDescent="0.2">
      <c r="A39" s="34">
        <f t="shared" si="0"/>
        <v>33</v>
      </c>
      <c r="B39" s="34" t="s">
        <v>60</v>
      </c>
      <c r="C39" s="34" t="s">
        <v>48</v>
      </c>
      <c r="F39" s="65">
        <v>125483</v>
      </c>
      <c r="J39" s="65">
        <v>125483</v>
      </c>
      <c r="N39" s="65">
        <v>125483</v>
      </c>
      <c r="R39" s="65">
        <v>125483</v>
      </c>
    </row>
    <row r="40" spans="1:23" x14ac:dyDescent="0.2">
      <c r="A40" s="34">
        <f t="shared" si="0"/>
        <v>34</v>
      </c>
      <c r="B40" s="34" t="s">
        <v>61</v>
      </c>
      <c r="C40" s="34" t="s">
        <v>8</v>
      </c>
      <c r="F40" s="72">
        <v>31.087876445414917</v>
      </c>
      <c r="J40" s="72">
        <v>31.087876445414917</v>
      </c>
      <c r="N40" s="72">
        <v>31.087876445414917</v>
      </c>
      <c r="R40" s="72">
        <v>31.087876445414917</v>
      </c>
    </row>
    <row r="41" spans="1:23" x14ac:dyDescent="0.2">
      <c r="A41" s="34">
        <f t="shared" si="0"/>
        <v>35</v>
      </c>
    </row>
    <row r="42" spans="1:23" x14ac:dyDescent="0.2">
      <c r="A42" s="34">
        <f t="shared" si="0"/>
        <v>36</v>
      </c>
      <c r="B42" s="53" t="s">
        <v>15</v>
      </c>
      <c r="F42" s="52" t="s">
        <v>37</v>
      </c>
      <c r="G42" s="52"/>
      <c r="H42" s="52"/>
      <c r="I42" s="52"/>
      <c r="J42" s="52" t="s">
        <v>38</v>
      </c>
      <c r="K42" s="52"/>
      <c r="L42" s="52"/>
      <c r="M42" s="52"/>
      <c r="N42" s="52" t="s">
        <v>39</v>
      </c>
      <c r="O42" s="52"/>
      <c r="P42" s="52"/>
      <c r="Q42" s="52"/>
      <c r="R42" s="52" t="s">
        <v>40</v>
      </c>
    </row>
    <row r="43" spans="1:23" x14ac:dyDescent="0.2">
      <c r="A43" s="34">
        <f t="shared" si="0"/>
        <v>37</v>
      </c>
      <c r="B43" s="34" t="s">
        <v>16</v>
      </c>
      <c r="C43" s="34" t="s">
        <v>48</v>
      </c>
      <c r="F43" s="73">
        <f>+F7+F8</f>
        <v>320</v>
      </c>
      <c r="J43" s="73">
        <f>+J7+J8</f>
        <v>300</v>
      </c>
      <c r="N43" s="73">
        <f>+N7+N8</f>
        <v>600</v>
      </c>
      <c r="R43" s="73">
        <f>+R7+R8</f>
        <v>50</v>
      </c>
    </row>
    <row r="44" spans="1:23" x14ac:dyDescent="0.2">
      <c r="A44" s="34">
        <f t="shared" si="0"/>
        <v>38</v>
      </c>
      <c r="B44" s="34" t="s">
        <v>17</v>
      </c>
      <c r="C44" s="34" t="s">
        <v>8</v>
      </c>
      <c r="F44" s="73">
        <v>285.97616865261227</v>
      </c>
      <c r="J44" s="73">
        <v>285.97616865261227</v>
      </c>
      <c r="N44" s="73">
        <v>285.97616865261227</v>
      </c>
      <c r="R44" s="73">
        <v>285.97616865261227</v>
      </c>
    </row>
    <row r="45" spans="1:23" x14ac:dyDescent="0.2">
      <c r="A45" s="34">
        <f t="shared" si="0"/>
        <v>39</v>
      </c>
      <c r="B45" s="34" t="s">
        <v>18</v>
      </c>
      <c r="F45" s="74">
        <v>3.1099999999999999E-2</v>
      </c>
      <c r="J45" s="74">
        <v>3.1099999999999999E-2</v>
      </c>
      <c r="N45" s="74">
        <v>3.1099999999999999E-2</v>
      </c>
      <c r="R45" s="74">
        <v>3.1099999999999999E-2</v>
      </c>
    </row>
    <row r="46" spans="1:23" x14ac:dyDescent="0.2">
      <c r="A46" s="34">
        <f t="shared" si="0"/>
        <v>40</v>
      </c>
      <c r="B46" s="34" t="s">
        <v>19</v>
      </c>
      <c r="C46" s="34" t="s">
        <v>8</v>
      </c>
      <c r="F46" s="75">
        <v>8.8938588450962417</v>
      </c>
      <c r="J46" s="75">
        <v>8.8938588450962417</v>
      </c>
      <c r="N46" s="75">
        <v>8.8938588450962417</v>
      </c>
      <c r="R46" s="75">
        <v>8.8938588450962417</v>
      </c>
    </row>
    <row r="47" spans="1:23" ht="13.5" thickBot="1" x14ac:dyDescent="0.25">
      <c r="A47" s="34">
        <f t="shared" si="0"/>
        <v>41</v>
      </c>
    </row>
    <row r="48" spans="1:23" ht="13.5" thickBot="1" x14ac:dyDescent="0.25">
      <c r="A48" s="34">
        <f t="shared" si="0"/>
        <v>42</v>
      </c>
      <c r="B48" s="53" t="s">
        <v>20</v>
      </c>
      <c r="C48" s="53" t="s">
        <v>8</v>
      </c>
      <c r="D48" s="53"/>
      <c r="E48" s="53"/>
      <c r="F48" s="76">
        <f>+(F9*1000*(F34))+(F43*F44*F45)+(F40*(F7+F8))</f>
        <v>16535.342657716479</v>
      </c>
      <c r="G48" s="53"/>
      <c r="H48" s="53"/>
      <c r="I48" s="53"/>
      <c r="J48" s="76">
        <f>+(J9*1000*(J34))+(J43*J44*J45)+(J40*(J7+J8))</f>
        <v>15735.707951906257</v>
      </c>
      <c r="K48" s="53"/>
      <c r="L48" s="53"/>
      <c r="M48" s="53"/>
      <c r="N48" s="76">
        <f>+(N9*1000*(N34))+(N43*N44*N45)+(N40*(N7+N8))</f>
        <v>27730.228539059604</v>
      </c>
      <c r="O48" s="53"/>
      <c r="P48" s="53"/>
      <c r="Q48" s="53"/>
      <c r="R48" s="76">
        <f>+(R9*1000*(R34))+(R43*R44*R45)+(R40*(R7+R8))</f>
        <v>5740.2741292784667</v>
      </c>
      <c r="S48" s="53"/>
      <c r="T48" s="53"/>
      <c r="U48" s="53"/>
      <c r="V48" s="53"/>
      <c r="W48" s="53"/>
    </row>
    <row r="49" spans="1:20" x14ac:dyDescent="0.2">
      <c r="A49" s="34">
        <f>+A38+1</f>
        <v>33</v>
      </c>
      <c r="F49" s="77"/>
      <c r="J49" s="77"/>
      <c r="N49" s="77"/>
      <c r="R49" s="77"/>
    </row>
    <row r="50" spans="1:20" x14ac:dyDescent="0.2">
      <c r="A50" s="34">
        <f t="shared" ref="A50:A90" si="1">+A49+1</f>
        <v>34</v>
      </c>
      <c r="F50" s="62" t="s">
        <v>21</v>
      </c>
      <c r="G50" s="43"/>
      <c r="H50" s="43" t="s">
        <v>22</v>
      </c>
      <c r="I50" s="43"/>
      <c r="J50" s="62" t="s">
        <v>21</v>
      </c>
      <c r="K50" s="43"/>
      <c r="L50" s="43" t="s">
        <v>22</v>
      </c>
      <c r="M50" s="43"/>
      <c r="N50" s="62" t="s">
        <v>21</v>
      </c>
      <c r="O50" s="43"/>
      <c r="P50" s="43" t="s">
        <v>22</v>
      </c>
      <c r="Q50" s="43"/>
      <c r="R50" s="62" t="s">
        <v>21</v>
      </c>
      <c r="S50" s="43"/>
      <c r="T50" s="43" t="s">
        <v>22</v>
      </c>
    </row>
    <row r="51" spans="1:20" x14ac:dyDescent="0.2">
      <c r="A51" s="34">
        <f t="shared" si="1"/>
        <v>35</v>
      </c>
      <c r="F51" s="62" t="s">
        <v>8</v>
      </c>
      <c r="G51" s="43"/>
      <c r="H51" s="43" t="s">
        <v>10</v>
      </c>
      <c r="I51" s="43"/>
      <c r="J51" s="62" t="s">
        <v>8</v>
      </c>
      <c r="K51" s="43"/>
      <c r="L51" s="43" t="s">
        <v>10</v>
      </c>
      <c r="M51" s="43"/>
      <c r="N51" s="62" t="s">
        <v>8</v>
      </c>
      <c r="O51" s="43"/>
      <c r="P51" s="43" t="s">
        <v>10</v>
      </c>
      <c r="Q51" s="43"/>
      <c r="R51" s="62" t="s">
        <v>8</v>
      </c>
      <c r="S51" s="43"/>
      <c r="T51" s="43" t="s">
        <v>10</v>
      </c>
    </row>
    <row r="52" spans="1:20" ht="13.5" thickBot="1" x14ac:dyDescent="0.25">
      <c r="A52" s="34">
        <f t="shared" si="1"/>
        <v>36</v>
      </c>
      <c r="F52" s="77"/>
      <c r="J52" s="77"/>
      <c r="N52" s="77"/>
      <c r="R52" s="77"/>
    </row>
    <row r="53" spans="1:20" ht="13.5" thickBot="1" x14ac:dyDescent="0.25">
      <c r="A53" s="34">
        <f t="shared" si="1"/>
        <v>37</v>
      </c>
      <c r="B53" s="53" t="s">
        <v>23</v>
      </c>
      <c r="C53" s="34" t="s">
        <v>8</v>
      </c>
      <c r="F53" s="76">
        <f>+'Ready Reckoner 23-24'!D53</f>
        <v>40020.32</v>
      </c>
      <c r="H53" s="78">
        <f>+'Ready Reckoner 23-24'!F53</f>
        <v>0.98089019607843142</v>
      </c>
      <c r="J53" s="76">
        <f>+((J7*J19)+(J8*J20)+(J7*J15*J22)+(J8*J16*J23))</f>
        <v>32552.639999999999</v>
      </c>
      <c r="L53" s="78">
        <f>+J53/((J7*J15)+(J8*J16))</f>
        <v>1.0047111111111111</v>
      </c>
      <c r="N53" s="76">
        <f>+((N7*N19)+(N8*N20)+(N7*N15*N22)+(N8*N16*N23))</f>
        <v>65105.279999999999</v>
      </c>
      <c r="P53" s="78">
        <f>+N53/((N7*N15)+(N8*N16))</f>
        <v>1.0047111111111111</v>
      </c>
      <c r="R53" s="76">
        <f>+((R7*R19)+(R8*R20)+(R7*R15*R22)+(R8*R16*R23))</f>
        <v>18669.2</v>
      </c>
      <c r="T53" s="78">
        <f>+R53/((R7*R15)+(R8*R16))</f>
        <v>0.88900952380952381</v>
      </c>
    </row>
    <row r="54" spans="1:20" ht="13.5" thickBot="1" x14ac:dyDescent="0.25">
      <c r="A54" s="34">
        <f t="shared" si="1"/>
        <v>38</v>
      </c>
      <c r="F54" s="77"/>
      <c r="J54" s="77"/>
      <c r="N54" s="77"/>
      <c r="R54" s="77"/>
    </row>
    <row r="55" spans="1:20" ht="13.5" thickBot="1" x14ac:dyDescent="0.25">
      <c r="A55" s="34">
        <f t="shared" si="1"/>
        <v>39</v>
      </c>
      <c r="B55" s="53" t="s">
        <v>62</v>
      </c>
      <c r="F55" s="76">
        <f>+F48</f>
        <v>16535.342657716479</v>
      </c>
      <c r="G55" s="53"/>
      <c r="H55" s="53"/>
      <c r="I55" s="53"/>
      <c r="J55" s="76">
        <f>+J48</f>
        <v>15735.707951906257</v>
      </c>
      <c r="K55" s="53"/>
      <c r="L55" s="53"/>
      <c r="M55" s="53"/>
      <c r="N55" s="76">
        <f>+N48</f>
        <v>27730.228539059604</v>
      </c>
      <c r="O55" s="53"/>
      <c r="P55" s="53"/>
      <c r="Q55" s="53"/>
      <c r="R55" s="76">
        <f>+R48</f>
        <v>5740.2741292784667</v>
      </c>
    </row>
    <row r="56" spans="1:20" ht="13.5" thickBot="1" x14ac:dyDescent="0.25">
      <c r="A56" s="34">
        <f t="shared" si="1"/>
        <v>40</v>
      </c>
    </row>
    <row r="57" spans="1:20" ht="13.5" thickBot="1" x14ac:dyDescent="0.25">
      <c r="A57" s="34">
        <f t="shared" si="1"/>
        <v>41</v>
      </c>
      <c r="B57" s="53" t="s">
        <v>24</v>
      </c>
      <c r="F57" s="76">
        <f>+F53-F55</f>
        <v>23484.977342283521</v>
      </c>
      <c r="H57" s="78">
        <f>+'Ready Reckoner 23-24'!F57</f>
        <v>0.57560198560445963</v>
      </c>
      <c r="J57" s="76">
        <f>+J53-J55</f>
        <v>16816.932048093742</v>
      </c>
      <c r="L57" s="78">
        <f>+J57/((J7*J15)+(J8*J16))</f>
        <v>0.51904111259548591</v>
      </c>
      <c r="N57" s="76">
        <f>+N53-N55</f>
        <v>37375.051460940391</v>
      </c>
      <c r="P57" s="78">
        <f>+N57/((N7*N15)+(N8*N16))</f>
        <v>0.57677548550833935</v>
      </c>
      <c r="R57" s="76">
        <f>+R53-R55</f>
        <v>12928.925870721534</v>
      </c>
      <c r="T57" s="78">
        <f>+R57/((R7*R15)+(R8*R16))</f>
        <v>0.61566313670102546</v>
      </c>
    </row>
    <row r="58" spans="1:20" ht="13.5" thickBot="1" x14ac:dyDescent="0.25">
      <c r="A58" s="34">
        <f t="shared" si="1"/>
        <v>42</v>
      </c>
    </row>
    <row r="59" spans="1:20" ht="13.5" thickBot="1" x14ac:dyDescent="0.25">
      <c r="A59" s="34">
        <f t="shared" si="1"/>
        <v>43</v>
      </c>
      <c r="B59" s="53" t="s">
        <v>63</v>
      </c>
      <c r="H59" s="79">
        <f>-H57*0.035+H57</f>
        <v>0.55545591610830358</v>
      </c>
      <c r="L59" s="79">
        <f>-L57*0.035+L57</f>
        <v>0.50087467365464389</v>
      </c>
      <c r="P59" s="79">
        <f>-P57*0.035+P57</f>
        <v>0.55658834351554742</v>
      </c>
      <c r="T59" s="79">
        <f>-T57*0.035+T57</f>
        <v>0.59411492691648959</v>
      </c>
    </row>
    <row r="60" spans="1:20" x14ac:dyDescent="0.2">
      <c r="A60" s="34">
        <f t="shared" si="1"/>
        <v>44</v>
      </c>
    </row>
    <row r="61" spans="1:20" x14ac:dyDescent="0.2">
      <c r="A61" s="34">
        <f t="shared" si="1"/>
        <v>45</v>
      </c>
      <c r="B61" s="53" t="s">
        <v>25</v>
      </c>
      <c r="F61" s="80"/>
      <c r="H61" s="80">
        <f>+(H59/H53)-1</f>
        <v>-0.43372263447121895</v>
      </c>
      <c r="J61" s="80"/>
      <c r="L61" s="80">
        <f>+(L59/L53)-1</f>
        <v>-0.50147393801515139</v>
      </c>
      <c r="N61" s="80"/>
      <c r="P61" s="80">
        <f>+(P59/P53)-1</f>
        <v>-0.44602151070070706</v>
      </c>
      <c r="R61" s="80"/>
      <c r="T61" s="80">
        <f>+(T59/T53)-1</f>
        <v>-0.33171140352847039</v>
      </c>
    </row>
    <row r="62" spans="1:20" x14ac:dyDescent="0.2">
      <c r="A62" s="34">
        <f t="shared" si="1"/>
        <v>46</v>
      </c>
    </row>
    <row r="63" spans="1:20" x14ac:dyDescent="0.2">
      <c r="A63" s="34">
        <f t="shared" si="1"/>
        <v>47</v>
      </c>
      <c r="B63" s="81" t="s">
        <v>26</v>
      </c>
    </row>
    <row r="64" spans="1:20" x14ac:dyDescent="0.2">
      <c r="A64" s="34">
        <f t="shared" si="1"/>
        <v>48</v>
      </c>
      <c r="B64" s="82" t="s">
        <v>64</v>
      </c>
      <c r="C64" s="34">
        <v>124.8</v>
      </c>
    </row>
    <row r="65" spans="1:18" x14ac:dyDescent="0.2">
      <c r="A65" s="34">
        <f t="shared" si="1"/>
        <v>49</v>
      </c>
      <c r="B65" s="82" t="s">
        <v>65</v>
      </c>
      <c r="C65" s="34">
        <v>109.1</v>
      </c>
    </row>
    <row r="66" spans="1:18" x14ac:dyDescent="0.2">
      <c r="A66" s="34">
        <f t="shared" si="1"/>
        <v>50</v>
      </c>
      <c r="B66" s="34" t="s">
        <v>27</v>
      </c>
      <c r="C66" s="77">
        <f>+C64/C65</f>
        <v>1.1439046746104491</v>
      </c>
    </row>
    <row r="67" spans="1:18" x14ac:dyDescent="0.2">
      <c r="A67" s="34">
        <f t="shared" si="1"/>
        <v>51</v>
      </c>
      <c r="B67" s="83" t="s">
        <v>28</v>
      </c>
      <c r="C67" s="84">
        <f>+C66-1</f>
        <v>0.14390467461044909</v>
      </c>
    </row>
    <row r="68" spans="1:18" x14ac:dyDescent="0.2">
      <c r="A68" s="34">
        <f t="shared" si="1"/>
        <v>52</v>
      </c>
    </row>
    <row r="69" spans="1:18" ht="13.5" thickBot="1" x14ac:dyDescent="0.25">
      <c r="A69" s="34">
        <f t="shared" si="1"/>
        <v>53</v>
      </c>
      <c r="B69" s="53" t="s">
        <v>66</v>
      </c>
    </row>
    <row r="70" spans="1:18" x14ac:dyDescent="0.2">
      <c r="A70" s="34">
        <f t="shared" si="1"/>
        <v>54</v>
      </c>
      <c r="B70" s="34" t="s">
        <v>29</v>
      </c>
      <c r="C70" s="34" t="s">
        <v>8</v>
      </c>
      <c r="F70" s="85">
        <f>+'Ready Reckoner 23-24'!F70</f>
        <v>5222</v>
      </c>
      <c r="J70" s="85">
        <v>4896</v>
      </c>
      <c r="N70" s="85">
        <v>9792</v>
      </c>
      <c r="R70" s="85">
        <v>815</v>
      </c>
    </row>
    <row r="71" spans="1:18" x14ac:dyDescent="0.2">
      <c r="A71" s="34">
        <f t="shared" si="1"/>
        <v>55</v>
      </c>
      <c r="B71" s="34" t="s">
        <v>30</v>
      </c>
      <c r="C71" s="34" t="s">
        <v>8</v>
      </c>
      <c r="F71" s="86">
        <f>+'Ready Reckoner 23-24'!F71</f>
        <v>34798.32</v>
      </c>
      <c r="J71" s="86">
        <v>27657</v>
      </c>
      <c r="N71" s="86">
        <v>55313</v>
      </c>
      <c r="R71" s="86">
        <v>17854</v>
      </c>
    </row>
    <row r="72" spans="1:18" x14ac:dyDescent="0.2">
      <c r="A72" s="34">
        <f t="shared" si="1"/>
        <v>56</v>
      </c>
      <c r="B72" s="34" t="s">
        <v>31</v>
      </c>
      <c r="C72" s="34" t="s">
        <v>8</v>
      </c>
      <c r="F72" s="86">
        <f>-F55</f>
        <v>-16535.342657716479</v>
      </c>
      <c r="J72" s="86">
        <f>-J55</f>
        <v>-15735.707951906257</v>
      </c>
      <c r="N72" s="86">
        <f>-N55</f>
        <v>-27730.228539059604</v>
      </c>
      <c r="R72" s="86">
        <f>-R55</f>
        <v>-5740.2741292784667</v>
      </c>
    </row>
    <row r="73" spans="1:18" ht="13.5" thickBot="1" x14ac:dyDescent="0.25">
      <c r="A73" s="34">
        <f t="shared" si="1"/>
        <v>57</v>
      </c>
      <c r="B73" s="34" t="s">
        <v>24</v>
      </c>
      <c r="C73" s="34" t="s">
        <v>8</v>
      </c>
      <c r="F73" s="87">
        <f>SUM(F70:F72)</f>
        <v>23484.977342283521</v>
      </c>
      <c r="J73" s="87">
        <f>SUM(J70:J72)</f>
        <v>16817.292048093743</v>
      </c>
      <c r="N73" s="87">
        <f>SUM(N70:N72)</f>
        <v>37374.771460940392</v>
      </c>
      <c r="R73" s="87">
        <f>SUM(R70:R72)</f>
        <v>12928.725870721533</v>
      </c>
    </row>
    <row r="74" spans="1:18" x14ac:dyDescent="0.2">
      <c r="A74" s="34">
        <f t="shared" si="1"/>
        <v>58</v>
      </c>
    </row>
    <row r="75" spans="1:18" ht="13.5" thickBot="1" x14ac:dyDescent="0.25">
      <c r="A75" s="34">
        <f t="shared" si="1"/>
        <v>59</v>
      </c>
      <c r="B75" s="53" t="s">
        <v>68</v>
      </c>
      <c r="F75" s="52" t="s">
        <v>37</v>
      </c>
      <c r="G75" s="52"/>
      <c r="H75" s="52"/>
      <c r="I75" s="52"/>
      <c r="J75" s="52" t="s">
        <v>38</v>
      </c>
      <c r="K75" s="52"/>
      <c r="L75" s="52"/>
      <c r="M75" s="52"/>
      <c r="N75" s="52" t="s">
        <v>39</v>
      </c>
      <c r="O75" s="52"/>
      <c r="P75" s="52"/>
      <c r="Q75" s="52"/>
      <c r="R75" s="52" t="s">
        <v>40</v>
      </c>
    </row>
    <row r="76" spans="1:18" x14ac:dyDescent="0.2">
      <c r="A76" s="34">
        <f t="shared" si="1"/>
        <v>60</v>
      </c>
      <c r="B76" s="34" t="s">
        <v>32</v>
      </c>
      <c r="C76" s="34" t="s">
        <v>10</v>
      </c>
      <c r="F76" s="88">
        <f>+H57</f>
        <v>0.57560198560445963</v>
      </c>
      <c r="J76" s="88">
        <f>+L57</f>
        <v>0.51904111259548591</v>
      </c>
      <c r="N76" s="88">
        <v>0.5756058995962865</v>
      </c>
      <c r="R76" s="88">
        <v>0.5756058995962865</v>
      </c>
    </row>
    <row r="77" spans="1:18" ht="13.5" thickBot="1" x14ac:dyDescent="0.25">
      <c r="A77" s="34">
        <f t="shared" si="1"/>
        <v>61</v>
      </c>
      <c r="B77" s="34" t="s">
        <v>33</v>
      </c>
      <c r="C77" s="34" t="s">
        <v>8</v>
      </c>
      <c r="F77" s="89">
        <v>4.7600522913171515E-5</v>
      </c>
      <c r="J77" s="89">
        <v>4.7600522913171515E-5</v>
      </c>
      <c r="N77" s="89">
        <v>4.7600522913171515E-5</v>
      </c>
      <c r="R77" s="89">
        <v>4.7600522913171515E-5</v>
      </c>
    </row>
    <row r="78" spans="1:18" ht="13.5" thickBot="1" x14ac:dyDescent="0.25">
      <c r="A78" s="34">
        <f t="shared" si="1"/>
        <v>62</v>
      </c>
    </row>
    <row r="79" spans="1:18" x14ac:dyDescent="0.2">
      <c r="A79" s="34">
        <f t="shared" si="1"/>
        <v>63</v>
      </c>
      <c r="B79" s="34" t="s">
        <v>34</v>
      </c>
      <c r="C79" s="34" t="s">
        <v>6</v>
      </c>
      <c r="F79" s="90">
        <f>+F57</f>
        <v>23484.977342283521</v>
      </c>
      <c r="J79" s="90">
        <f>+J57</f>
        <v>16816.932048093742</v>
      </c>
      <c r="N79" s="90">
        <f>+N57</f>
        <v>37375.051460940391</v>
      </c>
      <c r="R79" s="90">
        <f>+R57</f>
        <v>12928.925870721534</v>
      </c>
    </row>
    <row r="80" spans="1:18" x14ac:dyDescent="0.2">
      <c r="A80" s="34">
        <f t="shared" si="1"/>
        <v>64</v>
      </c>
      <c r="B80" s="34" t="s">
        <v>29</v>
      </c>
      <c r="C80" s="34" t="s">
        <v>8</v>
      </c>
      <c r="F80" s="91">
        <v>1.5232167332214885E-2</v>
      </c>
      <c r="J80" s="91">
        <v>1.5232167332214885E-2</v>
      </c>
      <c r="N80" s="91">
        <v>1.5232167332214885E-2</v>
      </c>
      <c r="R80" s="91">
        <v>1.5232167332214885E-2</v>
      </c>
    </row>
    <row r="81" spans="1:18" x14ac:dyDescent="0.2">
      <c r="A81" s="34">
        <f t="shared" si="1"/>
        <v>65</v>
      </c>
      <c r="B81" s="34" t="s">
        <v>24</v>
      </c>
      <c r="F81" s="92">
        <f>+F79+F80</f>
        <v>23484.992574450851</v>
      </c>
      <c r="J81" s="92">
        <f>+J79+J80</f>
        <v>16816.947280261076</v>
      </c>
      <c r="N81" s="92">
        <f>+N79+N80</f>
        <v>37375.066693107721</v>
      </c>
      <c r="R81" s="92">
        <f>+R79+R80</f>
        <v>12928.941102888866</v>
      </c>
    </row>
    <row r="82" spans="1:18" x14ac:dyDescent="0.2">
      <c r="A82" s="34">
        <f t="shared" si="1"/>
        <v>66</v>
      </c>
      <c r="B82" s="34" t="s">
        <v>35</v>
      </c>
      <c r="F82" s="93">
        <v>0.57560627293372102</v>
      </c>
      <c r="J82" s="93">
        <f>+L57</f>
        <v>0.51904111259548591</v>
      </c>
      <c r="N82" s="93">
        <f>+P57</f>
        <v>0.57677548550833935</v>
      </c>
      <c r="R82" s="93">
        <f>+T57</f>
        <v>0.61566313670102546</v>
      </c>
    </row>
    <row r="83" spans="1:18" ht="13.5" thickBot="1" x14ac:dyDescent="0.25">
      <c r="A83" s="34">
        <f t="shared" si="1"/>
        <v>67</v>
      </c>
      <c r="B83" s="53" t="s">
        <v>71</v>
      </c>
      <c r="F83" s="94">
        <v>0.55546005338104076</v>
      </c>
      <c r="J83" s="94">
        <f>+L59</f>
        <v>0.50087467365464389</v>
      </c>
      <c r="N83" s="94">
        <f>+P59</f>
        <v>0.55658834351554742</v>
      </c>
      <c r="R83" s="94">
        <f>+T59</f>
        <v>0.59411492691648959</v>
      </c>
    </row>
    <row r="84" spans="1:18" x14ac:dyDescent="0.2">
      <c r="A84" s="34">
        <f t="shared" si="1"/>
        <v>68</v>
      </c>
    </row>
    <row r="85" spans="1:18" x14ac:dyDescent="0.2">
      <c r="A85" s="34">
        <f t="shared" si="1"/>
        <v>69</v>
      </c>
      <c r="B85" s="34" t="s">
        <v>69</v>
      </c>
      <c r="C85" s="34" t="s">
        <v>8</v>
      </c>
      <c r="D85" s="95"/>
      <c r="E85" s="95"/>
      <c r="F85" s="77">
        <f>+'Ready Reckoner 23-24'!D85</f>
        <v>1.1103786588327993E-3</v>
      </c>
      <c r="J85" s="77">
        <f>+F85</f>
        <v>1.1103786588327993E-3</v>
      </c>
      <c r="N85" s="77">
        <f>+J85</f>
        <v>1.1103786588327993E-3</v>
      </c>
      <c r="R85" s="77">
        <f>+N85</f>
        <v>1.1103786588327993E-3</v>
      </c>
    </row>
    <row r="86" spans="1:18" x14ac:dyDescent="0.2">
      <c r="A86" s="34">
        <f t="shared" si="1"/>
        <v>70</v>
      </c>
    </row>
    <row r="87" spans="1:18" x14ac:dyDescent="0.2">
      <c r="A87" s="34">
        <f t="shared" si="1"/>
        <v>71</v>
      </c>
      <c r="B87" s="53" t="s">
        <v>78</v>
      </c>
    </row>
    <row r="88" spans="1:18" x14ac:dyDescent="0.2">
      <c r="A88" s="34">
        <f t="shared" si="1"/>
        <v>72</v>
      </c>
      <c r="B88" s="34" t="s">
        <v>79</v>
      </c>
      <c r="F88" s="96">
        <f>((+F7*F15*F22)+F8*F16*F23)</f>
        <v>34798.32</v>
      </c>
      <c r="J88" s="96">
        <f>((+J7*J15*J22)+J8*J16*J23)</f>
        <v>27656.639999999999</v>
      </c>
      <c r="N88" s="96">
        <f>((+N7*N15*N22)+N8*N16*N23)</f>
        <v>55313.279999999999</v>
      </c>
      <c r="R88" s="96">
        <f>((+R7*R15*R22)+R8*R16*R23)</f>
        <v>17854.2</v>
      </c>
    </row>
    <row r="89" spans="1:18" x14ac:dyDescent="0.2">
      <c r="A89" s="34">
        <f t="shared" si="1"/>
        <v>73</v>
      </c>
      <c r="B89" s="34" t="s">
        <v>70</v>
      </c>
      <c r="F89" s="97">
        <f>+F81-F88</f>
        <v>-11313.327425549149</v>
      </c>
      <c r="J89" s="97">
        <f>+J81-J88</f>
        <v>-10839.692719738923</v>
      </c>
      <c r="N89" s="97">
        <f>+N81-N88</f>
        <v>-17938.213306892278</v>
      </c>
      <c r="R89" s="97">
        <f>+R81-R88</f>
        <v>-4925.2588971111345</v>
      </c>
    </row>
    <row r="90" spans="1:18" x14ac:dyDescent="0.2">
      <c r="A90" s="34">
        <f t="shared" si="1"/>
        <v>74</v>
      </c>
      <c r="B90" s="34" t="s">
        <v>80</v>
      </c>
      <c r="F90" s="98">
        <f>+F89/365</f>
        <v>-30.995417604244242</v>
      </c>
      <c r="J90" s="98">
        <f>+J89/365</f>
        <v>-29.697788273257324</v>
      </c>
      <c r="N90" s="98">
        <f>+N89/365</f>
        <v>-49.145789881896654</v>
      </c>
      <c r="R90" s="98">
        <f>+R89/365</f>
        <v>-13.4938599920853</v>
      </c>
    </row>
  </sheetData>
  <mergeCells count="2">
    <mergeCell ref="B2:S2"/>
    <mergeCell ref="B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Ready Reckoner 23-24</vt:lpstr>
      <vt:lpstr>Scenarios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Lale</dc:creator>
  <cp:lastModifiedBy>Caroline Jemphrey</cp:lastModifiedBy>
  <cp:lastPrinted>2021-02-16T16:02:04Z</cp:lastPrinted>
  <dcterms:created xsi:type="dcterms:W3CDTF">2021-02-16T15:22:04Z</dcterms:created>
  <dcterms:modified xsi:type="dcterms:W3CDTF">2023-02-28T12:42:58Z</dcterms:modified>
</cp:coreProperties>
</file>